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Presentation budget" sheetId="1" r:id="rId1"/>
    <sheet name="Remarques du trésorier" sheetId="6" r:id="rId2"/>
    <sheet name="Atterrissage" sheetId="4" r:id="rId3"/>
    <sheet name="Analytique budget" sheetId="3" r:id="rId4"/>
    <sheet name="Import budget N N-1" sheetId="2" r:id="rId5"/>
  </sheets>
  <definedNames>
    <definedName name="sngrpc.accdb" localSheetId="4" hidden="1">'Import budget N N-1'!$A$1:$D$100</definedName>
    <definedName name="_xlnm.Print_Area" localSheetId="0">'Presentation budget'!$A$1:$M$99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B29" i="1" l="1"/>
  <c r="Z29" i="1"/>
  <c r="X29" i="1"/>
  <c r="V29" i="1"/>
  <c r="T29" i="1"/>
  <c r="R29" i="1"/>
  <c r="P29" i="1"/>
  <c r="F29" i="4" l="1"/>
  <c r="E32" i="4"/>
  <c r="D32" i="4"/>
  <c r="G32" i="1"/>
  <c r="F32" i="1"/>
  <c r="E32" i="1" s="1"/>
  <c r="D32" i="1"/>
  <c r="G89" i="1" l="1"/>
  <c r="F19" i="4"/>
  <c r="D22" i="4"/>
  <c r="C22" i="4"/>
  <c r="G22" i="1"/>
  <c r="F22" i="1"/>
  <c r="D22" i="1"/>
  <c r="C22" i="1"/>
  <c r="E22" i="1" l="1"/>
  <c r="F47" i="4"/>
  <c r="N47" i="4" l="1"/>
  <c r="G95" i="1" l="1"/>
  <c r="J91" i="4" l="1"/>
  <c r="F42" i="4"/>
  <c r="F85" i="4"/>
  <c r="F86" i="4"/>
  <c r="F93" i="4"/>
  <c r="F91" i="4" s="1"/>
  <c r="N91" i="4" s="1"/>
  <c r="J52" i="4"/>
  <c r="I95" i="4"/>
  <c r="H95" i="4"/>
  <c r="H91" i="4" s="1"/>
  <c r="E95" i="4"/>
  <c r="D95" i="4"/>
  <c r="E94" i="4"/>
  <c r="D94" i="4"/>
  <c r="E93" i="4"/>
  <c r="D93" i="4"/>
  <c r="E92" i="4"/>
  <c r="D92" i="4"/>
  <c r="I89" i="4"/>
  <c r="H89" i="4"/>
  <c r="E89" i="4"/>
  <c r="D89" i="4"/>
  <c r="I88" i="4"/>
  <c r="H88" i="4"/>
  <c r="E88" i="4"/>
  <c r="D88" i="4"/>
  <c r="E86" i="4"/>
  <c r="D86" i="4"/>
  <c r="I85" i="4"/>
  <c r="H85" i="4"/>
  <c r="E85" i="4"/>
  <c r="D85" i="4"/>
  <c r="I84" i="4"/>
  <c r="H84" i="4"/>
  <c r="E84" i="4"/>
  <c r="D84" i="4"/>
  <c r="E83" i="4"/>
  <c r="D83" i="4"/>
  <c r="E82" i="4"/>
  <c r="D82" i="4"/>
  <c r="E81" i="4"/>
  <c r="D81" i="4"/>
  <c r="E80" i="4"/>
  <c r="D80" i="4"/>
  <c r="E79" i="4"/>
  <c r="D79" i="4"/>
  <c r="E78" i="4"/>
  <c r="D78" i="4"/>
  <c r="E77" i="4"/>
  <c r="D77" i="4"/>
  <c r="E76" i="4"/>
  <c r="D76" i="4"/>
  <c r="E75" i="4"/>
  <c r="D75" i="4"/>
  <c r="E74" i="4"/>
  <c r="D74" i="4"/>
  <c r="I73" i="4"/>
  <c r="H73" i="4"/>
  <c r="I72" i="4"/>
  <c r="H72" i="4"/>
  <c r="E72" i="4"/>
  <c r="D72" i="4"/>
  <c r="E68" i="4"/>
  <c r="D68" i="4"/>
  <c r="E67" i="4"/>
  <c r="D67" i="4"/>
  <c r="E66" i="4"/>
  <c r="D66" i="4"/>
  <c r="E65" i="4"/>
  <c r="D65" i="4"/>
  <c r="E64" i="4"/>
  <c r="D64" i="4"/>
  <c r="E63" i="4"/>
  <c r="D63" i="4"/>
  <c r="I62" i="4"/>
  <c r="H62" i="4"/>
  <c r="E62" i="4"/>
  <c r="D62" i="4"/>
  <c r="E60" i="4"/>
  <c r="D60" i="4"/>
  <c r="E59" i="4"/>
  <c r="D59" i="4"/>
  <c r="E58" i="4"/>
  <c r="D58" i="4"/>
  <c r="E57" i="4"/>
  <c r="D57" i="4"/>
  <c r="E56" i="4"/>
  <c r="D56" i="4"/>
  <c r="E55" i="4"/>
  <c r="D55" i="4"/>
  <c r="I54" i="4"/>
  <c r="H54" i="4"/>
  <c r="E54" i="4"/>
  <c r="D54" i="4"/>
  <c r="I53" i="4"/>
  <c r="H53" i="4"/>
  <c r="E53" i="4"/>
  <c r="D53" i="4"/>
  <c r="I52" i="4"/>
  <c r="H52" i="4"/>
  <c r="E52" i="4"/>
  <c r="D52" i="4"/>
  <c r="E48" i="4"/>
  <c r="D48" i="4"/>
  <c r="D47" i="4" s="1"/>
  <c r="M47" i="4"/>
  <c r="E46" i="4"/>
  <c r="D46" i="4"/>
  <c r="E45" i="4"/>
  <c r="D45" i="4"/>
  <c r="E44" i="4"/>
  <c r="D44" i="4"/>
  <c r="E43" i="4"/>
  <c r="D43" i="4"/>
  <c r="E42" i="4"/>
  <c r="D42" i="4"/>
  <c r="E41" i="4"/>
  <c r="D41" i="4"/>
  <c r="E40" i="4"/>
  <c r="D40" i="4"/>
  <c r="E39" i="4"/>
  <c r="D39" i="4"/>
  <c r="E38" i="4"/>
  <c r="D38" i="4"/>
  <c r="E37" i="4"/>
  <c r="D37" i="4"/>
  <c r="E36" i="4"/>
  <c r="D36" i="4"/>
  <c r="I35" i="4"/>
  <c r="H35" i="4"/>
  <c r="E35" i="4"/>
  <c r="D35" i="4"/>
  <c r="I34" i="4"/>
  <c r="H34" i="4"/>
  <c r="E34" i="4"/>
  <c r="D34" i="4"/>
  <c r="I32" i="4"/>
  <c r="H32" i="4"/>
  <c r="I31" i="4"/>
  <c r="H31" i="4"/>
  <c r="E31" i="4"/>
  <c r="D31" i="4"/>
  <c r="I30" i="4"/>
  <c r="H30" i="4"/>
  <c r="E30" i="4"/>
  <c r="E29" i="4" s="1"/>
  <c r="D30" i="4"/>
  <c r="D29" i="4" s="1"/>
  <c r="E27" i="4"/>
  <c r="D27" i="4"/>
  <c r="E26" i="4"/>
  <c r="D26" i="4"/>
  <c r="I25" i="4"/>
  <c r="H25" i="4"/>
  <c r="E25" i="4"/>
  <c r="D25" i="4"/>
  <c r="I24" i="4"/>
  <c r="H24" i="4"/>
  <c r="E24" i="4"/>
  <c r="D24" i="4"/>
  <c r="I21" i="4"/>
  <c r="H21" i="4"/>
  <c r="E21" i="4"/>
  <c r="D21" i="4"/>
  <c r="I20" i="4"/>
  <c r="H20" i="4"/>
  <c r="E20" i="4"/>
  <c r="D20" i="4"/>
  <c r="E17" i="4"/>
  <c r="D17" i="4"/>
  <c r="E16" i="4"/>
  <c r="D16" i="4"/>
  <c r="E15" i="4"/>
  <c r="D15" i="4"/>
  <c r="I14" i="4"/>
  <c r="H14" i="4"/>
  <c r="E14" i="4"/>
  <c r="D14" i="4"/>
  <c r="I13" i="4"/>
  <c r="H13" i="4"/>
  <c r="E13" i="4"/>
  <c r="D13" i="4"/>
  <c r="I12" i="4"/>
  <c r="H12" i="4"/>
  <c r="E12" i="4"/>
  <c r="D12" i="4"/>
  <c r="E10" i="4"/>
  <c r="D10" i="4"/>
  <c r="E9" i="4"/>
  <c r="D9" i="4"/>
  <c r="I8" i="4"/>
  <c r="H8" i="4"/>
  <c r="E8" i="4"/>
  <c r="D8" i="4"/>
  <c r="I7" i="4"/>
  <c r="H7" i="4"/>
  <c r="E7" i="4"/>
  <c r="D7" i="4"/>
  <c r="I6" i="4"/>
  <c r="H6" i="4"/>
  <c r="E6" i="4"/>
  <c r="D6" i="4"/>
  <c r="I5" i="4"/>
  <c r="H5" i="4"/>
  <c r="E5" i="4"/>
  <c r="D5" i="4"/>
  <c r="D19" i="4" l="1"/>
  <c r="F11" i="4"/>
  <c r="F71" i="4"/>
  <c r="N71" i="4" s="1"/>
  <c r="F33" i="4"/>
  <c r="F23" i="4"/>
  <c r="F51" i="4"/>
  <c r="N51" i="4" s="1"/>
  <c r="F61" i="4"/>
  <c r="N61" i="4" s="1"/>
  <c r="F4" i="4"/>
  <c r="J19" i="4"/>
  <c r="N19" i="4" s="1"/>
  <c r="I23" i="4"/>
  <c r="J87" i="4"/>
  <c r="F87" i="4" s="1"/>
  <c r="J33" i="4"/>
  <c r="J69" i="4"/>
  <c r="N69" i="4" s="1"/>
  <c r="J4" i="4"/>
  <c r="H87" i="4"/>
  <c r="D87" i="4" s="1"/>
  <c r="D106" i="4" s="1"/>
  <c r="J29" i="4"/>
  <c r="J11" i="4"/>
  <c r="H19" i="4"/>
  <c r="J50" i="4"/>
  <c r="N50" i="4" s="1"/>
  <c r="J23" i="4"/>
  <c r="H29" i="4"/>
  <c r="E91" i="4"/>
  <c r="H33" i="4"/>
  <c r="I19" i="4"/>
  <c r="I87" i="4"/>
  <c r="E19" i="4"/>
  <c r="D33" i="4"/>
  <c r="H11" i="4"/>
  <c r="H4" i="4"/>
  <c r="H50" i="4"/>
  <c r="I91" i="4"/>
  <c r="H69" i="4"/>
  <c r="I11" i="4"/>
  <c r="D61" i="4"/>
  <c r="D91" i="4"/>
  <c r="D11" i="4"/>
  <c r="I69" i="4"/>
  <c r="D51" i="4"/>
  <c r="D4" i="4"/>
  <c r="H23" i="4"/>
  <c r="I50" i="4"/>
  <c r="D23" i="4"/>
  <c r="E61" i="4"/>
  <c r="D71" i="4"/>
  <c r="E23" i="4"/>
  <c r="E71" i="4"/>
  <c r="E33" i="4"/>
  <c r="E4" i="4"/>
  <c r="E51" i="4"/>
  <c r="E11" i="4"/>
  <c r="I33" i="4"/>
  <c r="I4" i="4"/>
  <c r="I29" i="4"/>
  <c r="G10" i="1"/>
  <c r="F10" i="1"/>
  <c r="D10" i="1"/>
  <c r="D49" i="4" l="1"/>
  <c r="D97" i="4" s="1"/>
  <c r="N33" i="4"/>
  <c r="N23" i="4"/>
  <c r="N4" i="4"/>
  <c r="N29" i="4"/>
  <c r="E10" i="1"/>
  <c r="N11" i="4"/>
  <c r="F49" i="4"/>
  <c r="J49" i="4"/>
  <c r="J97" i="4" s="1"/>
  <c r="M19" i="4"/>
  <c r="E87" i="4"/>
  <c r="M69" i="4"/>
  <c r="M91" i="4"/>
  <c r="M50" i="4"/>
  <c r="M11" i="4"/>
  <c r="H49" i="4"/>
  <c r="H97" i="4" s="1"/>
  <c r="M4" i="4"/>
  <c r="M51" i="4"/>
  <c r="M33" i="4"/>
  <c r="I49" i="4"/>
  <c r="M61" i="4"/>
  <c r="M29" i="4"/>
  <c r="E49" i="4"/>
  <c r="M23" i="4"/>
  <c r="M71" i="4"/>
  <c r="G27" i="1"/>
  <c r="F27" i="1"/>
  <c r="E27" i="1" s="1"/>
  <c r="D27" i="1"/>
  <c r="G94" i="1"/>
  <c r="F94" i="1"/>
  <c r="E94" i="1" s="1"/>
  <c r="D94" i="1"/>
  <c r="G37" i="1"/>
  <c r="F37" i="1"/>
  <c r="D37" i="1"/>
  <c r="D95" i="1"/>
  <c r="F95" i="1"/>
  <c r="E95" i="1" l="1"/>
  <c r="F97" i="4"/>
  <c r="F98" i="4" s="1"/>
  <c r="N49" i="4"/>
  <c r="D98" i="4"/>
  <c r="M49" i="4"/>
  <c r="I97" i="4"/>
  <c r="E97" i="4"/>
  <c r="E37" i="1"/>
  <c r="G46" i="1"/>
  <c r="F46" i="1"/>
  <c r="D46" i="1"/>
  <c r="D45" i="1"/>
  <c r="F45" i="1"/>
  <c r="G45" i="1"/>
  <c r="E98" i="4" l="1"/>
  <c r="E45" i="1"/>
  <c r="E46" i="1"/>
  <c r="L35" i="1"/>
  <c r="K35" i="1"/>
  <c r="I35" i="1"/>
  <c r="J35" i="1" l="1"/>
  <c r="G93" i="1"/>
  <c r="F93" i="1"/>
  <c r="E93" i="1" s="1"/>
  <c r="D93" i="1"/>
  <c r="L32" i="1"/>
  <c r="K32" i="1"/>
  <c r="J32" i="1" s="1"/>
  <c r="I32" i="1"/>
  <c r="G48" i="1" l="1"/>
  <c r="F48" i="1"/>
  <c r="D48" i="1"/>
  <c r="D47" i="1" s="1"/>
  <c r="E48" i="1" l="1"/>
  <c r="G59" i="1"/>
  <c r="F59" i="1"/>
  <c r="D59" i="1"/>
  <c r="F58" i="1"/>
  <c r="G58" i="1"/>
  <c r="E59" i="1" l="1"/>
  <c r="A14" i="3" l="1"/>
  <c r="C6" i="3"/>
  <c r="C7" i="3"/>
  <c r="C5" i="3"/>
  <c r="D4" i="3"/>
  <c r="C4" i="3" s="1"/>
  <c r="G52" i="3" l="1"/>
  <c r="G53" i="3"/>
  <c r="A65" i="3" l="1"/>
  <c r="B65" i="3"/>
  <c r="C65" i="3"/>
  <c r="A53" i="3"/>
  <c r="B53" i="3"/>
  <c r="C53" i="3"/>
  <c r="A54" i="3"/>
  <c r="B54" i="3"/>
  <c r="C54" i="3"/>
  <c r="A55" i="3"/>
  <c r="B55" i="3"/>
  <c r="C55" i="3"/>
  <c r="A56" i="3"/>
  <c r="B56" i="3"/>
  <c r="C56" i="3"/>
  <c r="A57" i="3"/>
  <c r="B57" i="3"/>
  <c r="C57" i="3"/>
  <c r="A58" i="3"/>
  <c r="B58" i="3"/>
  <c r="C58" i="3"/>
  <c r="A59" i="3"/>
  <c r="B59" i="3"/>
  <c r="C59" i="3"/>
  <c r="A60" i="3"/>
  <c r="B60" i="3"/>
  <c r="C60" i="3"/>
  <c r="A61" i="3"/>
  <c r="B61" i="3"/>
  <c r="C61" i="3"/>
  <c r="A62" i="3"/>
  <c r="B62" i="3"/>
  <c r="C62" i="3"/>
  <c r="A63" i="3"/>
  <c r="B63" i="3"/>
  <c r="C63" i="3"/>
  <c r="D25" i="3"/>
  <c r="H25" i="3"/>
  <c r="D26" i="3"/>
  <c r="F26" i="3"/>
  <c r="H26" i="3"/>
  <c r="J26" i="3"/>
  <c r="A27" i="3"/>
  <c r="B28" i="3"/>
  <c r="C28" i="3"/>
  <c r="G28" i="3"/>
  <c r="B29" i="3"/>
  <c r="C29" i="3"/>
  <c r="G29" i="3"/>
  <c r="B30" i="3"/>
  <c r="C30" i="3"/>
  <c r="G30" i="3"/>
  <c r="B31" i="3"/>
  <c r="C31" i="3"/>
  <c r="G31" i="3"/>
  <c r="B32" i="3"/>
  <c r="C32" i="3"/>
  <c r="G32" i="3"/>
  <c r="H32" i="3"/>
  <c r="J32" i="3"/>
  <c r="A33" i="3"/>
  <c r="B34" i="3"/>
  <c r="C34" i="3"/>
  <c r="G34" i="3"/>
  <c r="B35" i="3"/>
  <c r="C35" i="3"/>
  <c r="G35" i="3"/>
  <c r="B36" i="3"/>
  <c r="C36" i="3"/>
  <c r="G36" i="3"/>
  <c r="B37" i="3"/>
  <c r="C37" i="3"/>
  <c r="G37" i="3"/>
  <c r="H37" i="3"/>
  <c r="J37" i="3"/>
  <c r="B38" i="3"/>
  <c r="C38" i="3"/>
  <c r="G38" i="3"/>
  <c r="H38" i="3"/>
  <c r="J38" i="3"/>
  <c r="B39" i="3"/>
  <c r="C39" i="3"/>
  <c r="G39" i="3"/>
  <c r="H39" i="3"/>
  <c r="J39" i="3"/>
  <c r="A40" i="3"/>
  <c r="B41" i="3"/>
  <c r="C41" i="3"/>
  <c r="G41" i="3"/>
  <c r="B42" i="3"/>
  <c r="C42" i="3"/>
  <c r="G42" i="3"/>
  <c r="A43" i="3"/>
  <c r="B44" i="3"/>
  <c r="C44" i="3"/>
  <c r="G44" i="3"/>
  <c r="B45" i="3"/>
  <c r="C45" i="3"/>
  <c r="G45" i="3"/>
  <c r="B46" i="3"/>
  <c r="C46" i="3"/>
  <c r="G46" i="3"/>
  <c r="H46" i="3"/>
  <c r="J46" i="3"/>
  <c r="A47" i="3"/>
  <c r="B48" i="3"/>
  <c r="C48" i="3"/>
  <c r="G48" i="3"/>
  <c r="B49" i="3"/>
  <c r="C49" i="3"/>
  <c r="G49" i="3"/>
  <c r="A52" i="3"/>
  <c r="G92" i="1" l="1"/>
  <c r="D12" i="1"/>
  <c r="D34" i="3" s="1"/>
  <c r="F12" i="1"/>
  <c r="F34" i="3" s="1"/>
  <c r="D13" i="1"/>
  <c r="F13" i="1"/>
  <c r="D14" i="1"/>
  <c r="D36" i="3" s="1"/>
  <c r="F14" i="1"/>
  <c r="F36" i="3" s="1"/>
  <c r="D15" i="1"/>
  <c r="D37" i="3" s="1"/>
  <c r="F15" i="1"/>
  <c r="D16" i="1"/>
  <c r="D38" i="3" s="1"/>
  <c r="F16" i="1"/>
  <c r="F38" i="3" s="1"/>
  <c r="D17" i="1"/>
  <c r="D39" i="3" s="1"/>
  <c r="F17" i="1"/>
  <c r="J47" i="1"/>
  <c r="E47" i="1"/>
  <c r="E90" i="1"/>
  <c r="D92" i="1"/>
  <c r="D89" i="1"/>
  <c r="D88" i="1"/>
  <c r="D86" i="1"/>
  <c r="D85" i="1"/>
  <c r="D84" i="1"/>
  <c r="D83" i="1"/>
  <c r="D82" i="1"/>
  <c r="D81" i="1"/>
  <c r="D80" i="1"/>
  <c r="D79" i="1"/>
  <c r="D78" i="1"/>
  <c r="D77" i="1"/>
  <c r="D76" i="1"/>
  <c r="D75" i="1"/>
  <c r="D74" i="1"/>
  <c r="D72" i="1"/>
  <c r="D68" i="1"/>
  <c r="D67" i="1"/>
  <c r="D66" i="1"/>
  <c r="D65" i="1"/>
  <c r="D64" i="1"/>
  <c r="D63" i="1"/>
  <c r="D62" i="1"/>
  <c r="D60" i="1"/>
  <c r="D58" i="1"/>
  <c r="E58" i="1" s="1"/>
  <c r="D57" i="1"/>
  <c r="D56" i="1"/>
  <c r="D55" i="1"/>
  <c r="D54" i="1"/>
  <c r="D53" i="1"/>
  <c r="D52" i="1"/>
  <c r="D63" i="3"/>
  <c r="D44" i="1"/>
  <c r="D62" i="3" s="1"/>
  <c r="D43" i="1"/>
  <c r="D61" i="3" s="1"/>
  <c r="D42" i="1"/>
  <c r="D60" i="3" s="1"/>
  <c r="D41" i="1"/>
  <c r="D59" i="3" s="1"/>
  <c r="D40" i="1"/>
  <c r="D58" i="3" s="1"/>
  <c r="D39" i="1"/>
  <c r="D57" i="3" s="1"/>
  <c r="D38" i="1"/>
  <c r="D56" i="3" s="1"/>
  <c r="D36" i="1"/>
  <c r="D55" i="3" s="1"/>
  <c r="D35" i="1"/>
  <c r="D54" i="3" s="1"/>
  <c r="D34" i="1"/>
  <c r="D31" i="1"/>
  <c r="D49" i="3" s="1"/>
  <c r="D30" i="1"/>
  <c r="D26" i="1"/>
  <c r="D46" i="3" s="1"/>
  <c r="D25" i="1"/>
  <c r="D45" i="3" s="1"/>
  <c r="D24" i="1"/>
  <c r="D21" i="1"/>
  <c r="D42" i="3" s="1"/>
  <c r="D20" i="1"/>
  <c r="D9" i="1"/>
  <c r="D32" i="3" s="1"/>
  <c r="D8" i="1"/>
  <c r="D31" i="3" s="1"/>
  <c r="D7" i="1"/>
  <c r="D30" i="3" s="1"/>
  <c r="D6" i="1"/>
  <c r="D29" i="3" s="1"/>
  <c r="D5" i="1"/>
  <c r="I95" i="1"/>
  <c r="I91" i="1" s="1"/>
  <c r="I89" i="1"/>
  <c r="I88" i="1"/>
  <c r="I85" i="1"/>
  <c r="I84" i="1"/>
  <c r="I73" i="1"/>
  <c r="I72" i="1"/>
  <c r="I62" i="1"/>
  <c r="I54" i="1"/>
  <c r="I53" i="1"/>
  <c r="I52" i="1"/>
  <c r="I34" i="1"/>
  <c r="I31" i="1"/>
  <c r="H49" i="3" s="1"/>
  <c r="I30" i="1"/>
  <c r="I25" i="1"/>
  <c r="H45" i="3" s="1"/>
  <c r="I24" i="1"/>
  <c r="I21" i="1"/>
  <c r="H42" i="3" s="1"/>
  <c r="I20" i="1"/>
  <c r="H41" i="3" s="1"/>
  <c r="I14" i="1"/>
  <c r="H36" i="3" s="1"/>
  <c r="I13" i="1"/>
  <c r="H35" i="3" s="1"/>
  <c r="I12" i="1"/>
  <c r="H34" i="3" s="1"/>
  <c r="I8" i="1"/>
  <c r="H31" i="3" s="1"/>
  <c r="I7" i="1"/>
  <c r="H30" i="3" s="1"/>
  <c r="I6" i="1"/>
  <c r="I5" i="1"/>
  <c r="H28" i="3" s="1"/>
  <c r="L95" i="1"/>
  <c r="L91" i="1" s="1"/>
  <c r="L89" i="1"/>
  <c r="L88" i="1"/>
  <c r="L85" i="1"/>
  <c r="L84" i="1"/>
  <c r="L73" i="1"/>
  <c r="L72" i="1"/>
  <c r="L62" i="1"/>
  <c r="L54" i="1"/>
  <c r="L53" i="1"/>
  <c r="L52" i="1"/>
  <c r="L34" i="1"/>
  <c r="L33" i="1" s="1"/>
  <c r="L31" i="1"/>
  <c r="L30" i="1"/>
  <c r="L25" i="1"/>
  <c r="L24" i="1"/>
  <c r="L21" i="1"/>
  <c r="L20" i="1"/>
  <c r="L14" i="1"/>
  <c r="L13" i="1"/>
  <c r="L12" i="1"/>
  <c r="L8" i="1"/>
  <c r="L7" i="1"/>
  <c r="L6" i="1"/>
  <c r="L5" i="1"/>
  <c r="G88" i="1"/>
  <c r="G86" i="1"/>
  <c r="G85" i="1"/>
  <c r="G84" i="1"/>
  <c r="G83" i="1"/>
  <c r="G82" i="1"/>
  <c r="G81" i="1"/>
  <c r="G80" i="1"/>
  <c r="G79" i="1"/>
  <c r="G78" i="1"/>
  <c r="G77" i="1"/>
  <c r="G76" i="1"/>
  <c r="G75" i="1"/>
  <c r="G74" i="1"/>
  <c r="G72" i="1"/>
  <c r="G68" i="1"/>
  <c r="G67" i="1"/>
  <c r="G66" i="1"/>
  <c r="G65" i="1"/>
  <c r="G64" i="1"/>
  <c r="G63" i="1"/>
  <c r="G62" i="1"/>
  <c r="G60" i="1"/>
  <c r="G57" i="1"/>
  <c r="G56" i="1"/>
  <c r="G55" i="1"/>
  <c r="G54" i="1"/>
  <c r="G53" i="1"/>
  <c r="G52" i="1"/>
  <c r="G44" i="1"/>
  <c r="G43" i="1"/>
  <c r="G42" i="1"/>
  <c r="G41" i="1"/>
  <c r="G40" i="1"/>
  <c r="G39" i="1"/>
  <c r="G38" i="1"/>
  <c r="G36" i="1"/>
  <c r="G35" i="1"/>
  <c r="G34" i="1"/>
  <c r="G31" i="1"/>
  <c r="G30" i="1"/>
  <c r="G26" i="1"/>
  <c r="G25" i="1"/>
  <c r="G24" i="1"/>
  <c r="G21" i="1"/>
  <c r="G20" i="1"/>
  <c r="G17" i="1"/>
  <c r="G16" i="1"/>
  <c r="G15" i="1"/>
  <c r="G14" i="1"/>
  <c r="G13" i="1"/>
  <c r="G12" i="1"/>
  <c r="G9" i="1"/>
  <c r="G8" i="1"/>
  <c r="G7" i="1"/>
  <c r="G6" i="1"/>
  <c r="G5" i="1"/>
  <c r="K5" i="1"/>
  <c r="K6" i="1"/>
  <c r="J29" i="3" s="1"/>
  <c r="K7" i="1"/>
  <c r="K8" i="1"/>
  <c r="K12" i="1"/>
  <c r="J34" i="3" s="1"/>
  <c r="K13" i="1"/>
  <c r="K14" i="1"/>
  <c r="K20" i="1"/>
  <c r="K21" i="1"/>
  <c r="J42" i="3" s="1"/>
  <c r="K24" i="1"/>
  <c r="K25" i="1"/>
  <c r="J45" i="3" s="1"/>
  <c r="K30" i="1"/>
  <c r="K31" i="1"/>
  <c r="J49" i="3" s="1"/>
  <c r="K34" i="1"/>
  <c r="K52" i="1"/>
  <c r="K53" i="1"/>
  <c r="K54" i="1"/>
  <c r="K62" i="1"/>
  <c r="K72" i="1"/>
  <c r="K73" i="1"/>
  <c r="J73" i="1" s="1"/>
  <c r="K84" i="1"/>
  <c r="J84" i="1" s="1"/>
  <c r="K85" i="1"/>
  <c r="K88" i="1"/>
  <c r="K89" i="1"/>
  <c r="K95" i="1"/>
  <c r="K91" i="1" s="1"/>
  <c r="G29" i="1" l="1"/>
  <c r="D48" i="3"/>
  <c r="D29" i="1"/>
  <c r="G19" i="1"/>
  <c r="D87" i="1"/>
  <c r="D41" i="3"/>
  <c r="D19" i="1"/>
  <c r="D40" i="3" s="1"/>
  <c r="G87" i="1"/>
  <c r="D28" i="3"/>
  <c r="D4" i="1"/>
  <c r="D27" i="3" s="1"/>
  <c r="G4" i="1"/>
  <c r="G23" i="1"/>
  <c r="D44" i="3"/>
  <c r="D23" i="1"/>
  <c r="D43" i="3" s="1"/>
  <c r="D53" i="3"/>
  <c r="D33" i="1"/>
  <c r="D52" i="3" s="1"/>
  <c r="G33" i="1"/>
  <c r="H48" i="3"/>
  <c r="I29" i="1"/>
  <c r="K29" i="1"/>
  <c r="L29" i="1"/>
  <c r="K69" i="1"/>
  <c r="J91" i="1"/>
  <c r="J54" i="1"/>
  <c r="J89" i="1"/>
  <c r="J53" i="1"/>
  <c r="E16" i="1"/>
  <c r="J52" i="1"/>
  <c r="J88" i="1"/>
  <c r="J85" i="1"/>
  <c r="J31" i="1"/>
  <c r="G91" i="1"/>
  <c r="J6" i="1"/>
  <c r="H29" i="3"/>
  <c r="I23" i="1"/>
  <c r="H44" i="3"/>
  <c r="J62" i="1"/>
  <c r="E15" i="1"/>
  <c r="F37" i="3"/>
  <c r="E12" i="1"/>
  <c r="J24" i="1"/>
  <c r="J44" i="3"/>
  <c r="J34" i="1"/>
  <c r="J53" i="3"/>
  <c r="J13" i="1"/>
  <c r="J35" i="3"/>
  <c r="J12" i="1"/>
  <c r="E17" i="1"/>
  <c r="F39" i="3"/>
  <c r="E14" i="1"/>
  <c r="D11" i="1"/>
  <c r="D33" i="3" s="1"/>
  <c r="D35" i="3"/>
  <c r="J14" i="1"/>
  <c r="J36" i="3"/>
  <c r="K33" i="1"/>
  <c r="I33" i="1"/>
  <c r="H53" i="3"/>
  <c r="J21" i="1"/>
  <c r="J7" i="1"/>
  <c r="J30" i="3"/>
  <c r="J5" i="1"/>
  <c r="J28" i="3"/>
  <c r="J20" i="1"/>
  <c r="J41" i="3"/>
  <c r="J72" i="1"/>
  <c r="J30" i="1"/>
  <c r="J48" i="3"/>
  <c r="J8" i="1"/>
  <c r="J31" i="3"/>
  <c r="J25" i="1"/>
  <c r="E13" i="1"/>
  <c r="F35" i="3"/>
  <c r="L19" i="1"/>
  <c r="I87" i="1"/>
  <c r="D106" i="1" s="1"/>
  <c r="K19" i="1"/>
  <c r="J95" i="1"/>
  <c r="F11" i="1"/>
  <c r="K87" i="1"/>
  <c r="L87" i="1"/>
  <c r="G51" i="1"/>
  <c r="D91" i="1"/>
  <c r="L69" i="1"/>
  <c r="K50" i="1"/>
  <c r="L4" i="1"/>
  <c r="G61" i="1"/>
  <c r="I19" i="1"/>
  <c r="D47" i="3"/>
  <c r="K4" i="1"/>
  <c r="L11" i="1"/>
  <c r="I50" i="1"/>
  <c r="I4" i="1"/>
  <c r="D71" i="1"/>
  <c r="G71" i="1"/>
  <c r="G11" i="1"/>
  <c r="L50" i="1"/>
  <c r="I69" i="1"/>
  <c r="D61" i="1"/>
  <c r="K23" i="1"/>
  <c r="K11" i="1"/>
  <c r="I11" i="1"/>
  <c r="D51" i="1"/>
  <c r="L23" i="1"/>
  <c r="F89" i="1"/>
  <c r="E89" i="1" s="1"/>
  <c r="F88" i="1"/>
  <c r="F65" i="1"/>
  <c r="E65" i="1" s="1"/>
  <c r="F92" i="1"/>
  <c r="E92" i="1" s="1"/>
  <c r="F86" i="1"/>
  <c r="E86" i="1" s="1"/>
  <c r="F85" i="1"/>
  <c r="E85" i="1" s="1"/>
  <c r="F60" i="1"/>
  <c r="E60" i="1" s="1"/>
  <c r="F84" i="1"/>
  <c r="E84" i="1" s="1"/>
  <c r="F68" i="1"/>
  <c r="E68" i="1" s="1"/>
  <c r="F83" i="1"/>
  <c r="E83" i="1" s="1"/>
  <c r="F82" i="1"/>
  <c r="E82" i="1" s="1"/>
  <c r="F81" i="1"/>
  <c r="E81" i="1" s="1"/>
  <c r="F80" i="1"/>
  <c r="E80" i="1" s="1"/>
  <c r="F79" i="1"/>
  <c r="E79" i="1" s="1"/>
  <c r="F78" i="1"/>
  <c r="E78" i="1" s="1"/>
  <c r="F77" i="1"/>
  <c r="E77" i="1" s="1"/>
  <c r="F76" i="1"/>
  <c r="E76" i="1" s="1"/>
  <c r="F75" i="1"/>
  <c r="E75" i="1" s="1"/>
  <c r="F74" i="1"/>
  <c r="E74" i="1" s="1"/>
  <c r="F72" i="1"/>
  <c r="E72" i="1" s="1"/>
  <c r="F67" i="1"/>
  <c r="E67" i="1" s="1"/>
  <c r="F66" i="1"/>
  <c r="E66" i="1" s="1"/>
  <c r="F64" i="1"/>
  <c r="E64" i="1" s="1"/>
  <c r="F63" i="1"/>
  <c r="E63" i="1" s="1"/>
  <c r="F62" i="1"/>
  <c r="E62" i="1" s="1"/>
  <c r="F57" i="1"/>
  <c r="E57" i="1" s="1"/>
  <c r="F56" i="1"/>
  <c r="E56" i="1" s="1"/>
  <c r="F55" i="1"/>
  <c r="E55" i="1" s="1"/>
  <c r="F54" i="1"/>
  <c r="E54" i="1" s="1"/>
  <c r="F53" i="1"/>
  <c r="E53" i="1" s="1"/>
  <c r="F52" i="1"/>
  <c r="E52" i="1" s="1"/>
  <c r="F44" i="1"/>
  <c r="F43" i="1"/>
  <c r="F42" i="1"/>
  <c r="F41" i="1"/>
  <c r="F40" i="1"/>
  <c r="F39" i="1"/>
  <c r="F38" i="1"/>
  <c r="F36" i="1"/>
  <c r="F35" i="1"/>
  <c r="F34" i="1"/>
  <c r="F31" i="1"/>
  <c r="F30" i="1"/>
  <c r="F26" i="1"/>
  <c r="F25" i="1"/>
  <c r="F24" i="1"/>
  <c r="F21" i="1"/>
  <c r="F20" i="1"/>
  <c r="F19" i="1" s="1"/>
  <c r="F9" i="1"/>
  <c r="F8" i="1"/>
  <c r="F7" i="1"/>
  <c r="F6" i="1"/>
  <c r="F5" i="1"/>
  <c r="F29" i="1" l="1"/>
  <c r="H47" i="3"/>
  <c r="D65" i="3"/>
  <c r="H43" i="3"/>
  <c r="H33" i="3"/>
  <c r="H52" i="3"/>
  <c r="H27" i="3"/>
  <c r="E88" i="1"/>
  <c r="F87" i="1"/>
  <c r="F4" i="1"/>
  <c r="F23" i="1"/>
  <c r="F33" i="1"/>
  <c r="J47" i="3"/>
  <c r="J27" i="3"/>
  <c r="J40" i="3"/>
  <c r="J33" i="3"/>
  <c r="E41" i="1"/>
  <c r="F59" i="3"/>
  <c r="E8" i="1"/>
  <c r="F31" i="3"/>
  <c r="E31" i="1"/>
  <c r="F49" i="3"/>
  <c r="E42" i="1"/>
  <c r="F60" i="3"/>
  <c r="E9" i="1"/>
  <c r="F32" i="3"/>
  <c r="E34" i="1"/>
  <c r="F53" i="3"/>
  <c r="E43" i="1"/>
  <c r="F61" i="3"/>
  <c r="J33" i="1"/>
  <c r="J52" i="3"/>
  <c r="E7" i="1"/>
  <c r="F30" i="3"/>
  <c r="E20" i="1"/>
  <c r="F41" i="3"/>
  <c r="F63" i="3"/>
  <c r="E38" i="1"/>
  <c r="F56" i="3"/>
  <c r="E30" i="1"/>
  <c r="F48" i="3"/>
  <c r="E11" i="1"/>
  <c r="F33" i="3"/>
  <c r="E35" i="1"/>
  <c r="F54" i="3"/>
  <c r="E36" i="1"/>
  <c r="F55" i="3"/>
  <c r="E24" i="1"/>
  <c r="F44" i="3"/>
  <c r="E5" i="1"/>
  <c r="F28" i="3"/>
  <c r="E25" i="1"/>
  <c r="F45" i="3"/>
  <c r="E39" i="1"/>
  <c r="F57" i="3"/>
  <c r="J87" i="1"/>
  <c r="E44" i="1"/>
  <c r="F62" i="3"/>
  <c r="J19" i="1"/>
  <c r="H40" i="3"/>
  <c r="E21" i="1"/>
  <c r="F42" i="3"/>
  <c r="J23" i="1"/>
  <c r="J43" i="3"/>
  <c r="E6" i="1"/>
  <c r="F29" i="3"/>
  <c r="E26" i="1"/>
  <c r="F46" i="3"/>
  <c r="E40" i="1"/>
  <c r="F58" i="3"/>
  <c r="J29" i="1"/>
  <c r="J4" i="1"/>
  <c r="J50" i="1"/>
  <c r="I49" i="1"/>
  <c r="J69" i="1"/>
  <c r="J11" i="1"/>
  <c r="G49" i="1"/>
  <c r="G97" i="1" s="1"/>
  <c r="D49" i="1"/>
  <c r="D97" i="1" s="1"/>
  <c r="L49" i="1"/>
  <c r="L97" i="1" s="1"/>
  <c r="K49" i="1"/>
  <c r="F71" i="1"/>
  <c r="F61" i="1"/>
  <c r="F51" i="1"/>
  <c r="F91" i="1"/>
  <c r="I97" i="1" l="1"/>
  <c r="D98" i="1" s="1"/>
  <c r="G98" i="1"/>
  <c r="C12" i="3"/>
  <c r="C19" i="3" s="1"/>
  <c r="E91" i="1"/>
  <c r="E71" i="1"/>
  <c r="E61" i="1"/>
  <c r="C13" i="3"/>
  <c r="C20" i="3" s="1"/>
  <c r="C11" i="3"/>
  <c r="E4" i="1"/>
  <c r="F27" i="3"/>
  <c r="E29" i="1"/>
  <c r="F47" i="3"/>
  <c r="E19" i="1"/>
  <c r="F40" i="3"/>
  <c r="E33" i="1"/>
  <c r="F52" i="3"/>
  <c r="E23" i="1"/>
  <c r="F43" i="3"/>
  <c r="E51" i="1"/>
  <c r="F65" i="3"/>
  <c r="K97" i="1"/>
  <c r="J49" i="1"/>
  <c r="F49" i="1"/>
  <c r="G12" i="3" l="1"/>
  <c r="F12" i="3"/>
  <c r="E12" i="3"/>
  <c r="F97" i="1"/>
  <c r="E97" i="1" s="1"/>
  <c r="J97" i="1"/>
  <c r="D12" i="3"/>
  <c r="G13" i="3"/>
  <c r="F13" i="3"/>
  <c r="E13" i="3"/>
  <c r="D13" i="3"/>
  <c r="C21" i="3"/>
  <c r="D14" i="3"/>
  <c r="E14" i="3"/>
  <c r="F14" i="3"/>
  <c r="G14" i="3"/>
  <c r="C15" i="3"/>
  <c r="C18" i="3"/>
  <c r="G11" i="3"/>
  <c r="F11" i="3"/>
  <c r="D11" i="3"/>
  <c r="E11" i="3"/>
  <c r="E49" i="1"/>
  <c r="E87" i="1"/>
  <c r="F98" i="1" l="1"/>
  <c r="E98" i="1" s="1"/>
  <c r="C22" i="3"/>
  <c r="F15" i="3"/>
  <c r="F10" i="3" s="1"/>
  <c r="D15" i="3"/>
  <c r="D10" i="3" s="1"/>
  <c r="G15" i="3"/>
  <c r="G10" i="3" s="1"/>
  <c r="E15" i="3"/>
  <c r="E10" i="3" s="1"/>
  <c r="C10" i="3" l="1"/>
</calcChain>
</file>

<file path=xl/connections.xml><?xml version="1.0" encoding="utf-8"?>
<connections xmlns="http://schemas.openxmlformats.org/spreadsheetml/2006/main">
  <connection id="1" sourceFile="D:\COMPTA SNGRPC\sngrpc.accdb" keepAlive="1" name="sngrpc" type="5" refreshedVersion="6" background="1" saveData="1">
    <dbPr connection="Provider=Microsoft.ACE.OLEDB.12.0;User ID=Admin;Data Source=D:\COMPTA SNGRPC\sngrpc.accdb;Mode=Share Deny Write;Extended Properties=&quot;&quot;;Jet OLEDB:System database=&quot;&quot;;Jet OLEDB:Registry Path=&quot;&quot;;Jet OLEDB:Engine Type=6;Jet OLEDB:Database Locking Mode=0;Jet OLEDB:Global Partial Bulk Ops=2;Jet OLEDB:Global Bulk Transactions=1;Jet OLEDB:New Database Password=&quot;&quot;;Jet OLEDB:Create System Database=False;Jet OLEDB:Encrypt Database=False;Jet OLEDB:Don't Copy Locale on Compact=False;Jet OLEDB:Compact Without Replica Repair=False;Jet OLEDB:SFP=False;Jet OLEDB:Support Complex Data=False;Jet OLEDB:Bypass UserInfo Validation=False;Jet OLEDB:Limited DB Caching=False;Jet OLEDB:Bypass ChoiceField Validation=False" command="budget 2025" commandType="3"/>
  </connection>
</connections>
</file>

<file path=xl/sharedStrings.xml><?xml version="1.0" encoding="utf-8"?>
<sst xmlns="http://schemas.openxmlformats.org/spreadsheetml/2006/main" count="498" uniqueCount="267">
  <si>
    <t>Commission animation</t>
  </si>
  <si>
    <t>Commission voile habitable</t>
  </si>
  <si>
    <t>commission voile légère</t>
  </si>
  <si>
    <t>Dragon</t>
  </si>
  <si>
    <t>Commission developpement</t>
  </si>
  <si>
    <t>701000 - Ventes de produits finis (Pavillons Tshirt etc..)</t>
  </si>
  <si>
    <t>706000 - Ventes de prestations de services</t>
  </si>
  <si>
    <t>Commission logistique</t>
  </si>
  <si>
    <t>706100 - Repas AG Rentrée Noël</t>
  </si>
  <si>
    <t>706200 - Repas MiniMax Défi Sétoise Gardiane</t>
  </si>
  <si>
    <t>707000 - Ventes de marchandises</t>
  </si>
  <si>
    <t>708100 - Régates habitables</t>
  </si>
  <si>
    <t>708200 - Régates voile légère (cata, critérium)</t>
  </si>
  <si>
    <t>708250 - Conventions  Medmax Safran et autre</t>
  </si>
  <si>
    <t>708300 - Mini Croisière</t>
  </si>
  <si>
    <t>708350 - Mise à disposition place de port</t>
  </si>
  <si>
    <t>708400 - Ecole de voile loisir</t>
  </si>
  <si>
    <t>708500 - Régates Dragon Grand Prix</t>
  </si>
  <si>
    <t>Commission Ronde et Minicroisières</t>
  </si>
  <si>
    <t>708600 - Ronde Blanche-SNSM-Autres</t>
  </si>
  <si>
    <t>708700 - Autres Régates Dragon</t>
  </si>
  <si>
    <t>709000 - Rabais, remises et ristournes accordés par l'association</t>
  </si>
  <si>
    <t>741000 - Subventions Mairie</t>
  </si>
  <si>
    <t>741400 - Subventions Loyer &amp; Charges</t>
  </si>
  <si>
    <t>741600 - Subventions Région</t>
  </si>
  <si>
    <t>751000 - Licences FFV</t>
  </si>
  <si>
    <t>754100 - Dons et Collectes</t>
  </si>
  <si>
    <t>756100 - Adhésions</t>
  </si>
  <si>
    <t>775200 - Immobilisations corporelles</t>
  </si>
  <si>
    <t>791000 - Transferts de charges d'exploitation</t>
  </si>
  <si>
    <t>603700 - Variation des stocks de marchandises</t>
  </si>
  <si>
    <t>606100 - Eau, Gaz, Électricité</t>
  </si>
  <si>
    <t>606110 - Carburant bateaux extérieurs ex Minimax</t>
  </si>
  <si>
    <t>606120 - Carburant Cantadoc</t>
  </si>
  <si>
    <t>606130 - Carburant Diplomatico</t>
  </si>
  <si>
    <t>606150 - Carburant Azur</t>
  </si>
  <si>
    <t>606300 - Petit équipement pour entretien bateaux</t>
  </si>
  <si>
    <t>606310 - Matériel hôtelier, Nappes, serviettes etc..</t>
  </si>
  <si>
    <t>606320 - Coupe-Pavillon-Cadeaux Régates Habitables</t>
  </si>
  <si>
    <t>606321 - Coupe-Pavillon-Cadeaux DRAGON</t>
  </si>
  <si>
    <t>606322 - Coupe-Pavillon-Cadeaux Voile Légère</t>
  </si>
  <si>
    <t>606330 - Entretien Cantadoc</t>
  </si>
  <si>
    <t>606331 - Entretien Diplomatico</t>
  </si>
  <si>
    <t>606333 - Entretien Azur</t>
  </si>
  <si>
    <t>606336 - Entretien CAPELADO</t>
  </si>
  <si>
    <t>606340 - Animation Ecole de voile (Goûter etc..)</t>
  </si>
  <si>
    <t>606350 - Matériel pour animation régate</t>
  </si>
  <si>
    <t>606360 - Travaux rénovation-aménagement Club</t>
  </si>
  <si>
    <t>606400 - Fournitures administratives (ex : papeterie, fournitures bureau)</t>
  </si>
  <si>
    <t>606500 - Achats pour le club (Café, Sucre, Produits entretien)</t>
  </si>
  <si>
    <t>606510 - Repas-Rentrée-AG et Noël</t>
  </si>
  <si>
    <t>606520 - Repas Régates (Minimax, Défi, Sétoise, Gardiane)</t>
  </si>
  <si>
    <t>606530 - Repas Dragon</t>
  </si>
  <si>
    <t>607100 - Achat de marchandises revendues telles quelles (ex : T-shirts)</t>
  </si>
  <si>
    <t>611000 - Sous-traitance (ex UCPA) ou Trop perçu convention EVL</t>
  </si>
  <si>
    <t>612000 - Abonnement terminal CB et Logiciel</t>
  </si>
  <si>
    <t>612100 - Abonnement ASSOCONNECT Sérénité</t>
  </si>
  <si>
    <t>613000 - Location balises minimax ou  bateaux</t>
  </si>
  <si>
    <t>613110 - Place de Port extérieur (ex Ajaccio)</t>
  </si>
  <si>
    <t>613100 - Place de Port</t>
  </si>
  <si>
    <t>613200 - Locations bureaux</t>
  </si>
  <si>
    <t>613501 - Leasing BNP Photocopieur</t>
  </si>
  <si>
    <t>615010 - Participation Nettoyage Salles</t>
  </si>
  <si>
    <t>615600 - Entretien (Photocopieur. Site Amen, Héliodore)</t>
  </si>
  <si>
    <t>616000 - Primes d'assurances Bateaux</t>
  </si>
  <si>
    <t>616100 - Primes d'assurances Local</t>
  </si>
  <si>
    <t>616800 - Achats Licences FFV</t>
  </si>
  <si>
    <t>618500 - Cotisations SNGRPC</t>
  </si>
  <si>
    <t>621000 - Personnel extérieur (TMS Nettoyage-Entraîneur)</t>
  </si>
  <si>
    <t>622000 - Rémunérations d'intermédiaires et honoraires</t>
  </si>
  <si>
    <t>622600 - Honoraires (ex : comptables, juridiques)</t>
  </si>
  <si>
    <t>623200 - Animation régate (Goûter-Apéritif-Sandwich)</t>
  </si>
  <si>
    <t>623400 - Récompenses et cadeaux</t>
  </si>
  <si>
    <t>623410 - Dépenses Mini Croisière</t>
  </si>
  <si>
    <t>623600 - Catalogues et imprimés</t>
  </si>
  <si>
    <t>623800 - Divers (pourboires, dons, Telethon...)</t>
  </si>
  <si>
    <t>625000 - Déplacements, missions (Hôtel, Resto, Traiteur)</t>
  </si>
  <si>
    <t>625110 - Voyages et déplacements</t>
  </si>
  <si>
    <t>626100 - Frais postaux et de télécommunications</t>
  </si>
  <si>
    <t>626200 - Abonnement Orange</t>
  </si>
  <si>
    <t>627000 - Frais et services Bancaires et assimilés</t>
  </si>
  <si>
    <t>633300 - Participation des employeurs à la formation professionnelle continue</t>
  </si>
  <si>
    <t>635180 - Taxes et Impôts divers</t>
  </si>
  <si>
    <t>641000 - Rémunérations du personnel</t>
  </si>
  <si>
    <t>641400 - Indemnités et avantages divers</t>
  </si>
  <si>
    <t>645100 - Cotisations à l'URSSAF</t>
  </si>
  <si>
    <t>645200 - Cotisations aux mutuelles</t>
  </si>
  <si>
    <t>645300 - Cotisations aux caisses de retraites et de prévoyance</t>
  </si>
  <si>
    <t>658000 - Ecart de comptabilité en débit</t>
  </si>
  <si>
    <t>681100 - Dotations aux amortissements, provisions et engagements</t>
  </si>
  <si>
    <t>numero-compte</t>
  </si>
  <si>
    <t>Compte</t>
  </si>
  <si>
    <t>réalisé 2024</t>
  </si>
  <si>
    <t>budget 2025</t>
  </si>
  <si>
    <t>701000</t>
  </si>
  <si>
    <t>706000</t>
  </si>
  <si>
    <t>706100</t>
  </si>
  <si>
    <t>706200</t>
  </si>
  <si>
    <t>707000</t>
  </si>
  <si>
    <t>708100</t>
  </si>
  <si>
    <t>708200</t>
  </si>
  <si>
    <t>708250</t>
  </si>
  <si>
    <t>708300</t>
  </si>
  <si>
    <t>708350</t>
  </si>
  <si>
    <t>708400</t>
  </si>
  <si>
    <t>708500</t>
  </si>
  <si>
    <t>708600</t>
  </si>
  <si>
    <t>708700</t>
  </si>
  <si>
    <t>709000</t>
  </si>
  <si>
    <t>741000</t>
  </si>
  <si>
    <t>741100</t>
  </si>
  <si>
    <t>741400</t>
  </si>
  <si>
    <t>741600</t>
  </si>
  <si>
    <t>751000</t>
  </si>
  <si>
    <t>754100</t>
  </si>
  <si>
    <t>756100</t>
  </si>
  <si>
    <t>760000</t>
  </si>
  <si>
    <t>760000 - Produits financiers</t>
  </si>
  <si>
    <t>775200</t>
  </si>
  <si>
    <t>791000</t>
  </si>
  <si>
    <t>603700</t>
  </si>
  <si>
    <t>606100</t>
  </si>
  <si>
    <t>606110</t>
  </si>
  <si>
    <t>606120</t>
  </si>
  <si>
    <t>606130</t>
  </si>
  <si>
    <t>606150</t>
  </si>
  <si>
    <t>606300</t>
  </si>
  <si>
    <t>606310</t>
  </si>
  <si>
    <t>606320</t>
  </si>
  <si>
    <t>606321</t>
  </si>
  <si>
    <t>606322</t>
  </si>
  <si>
    <t>606323</t>
  </si>
  <si>
    <t>606323 - Coupe-Pavillon-Cadeaux Ronde</t>
  </si>
  <si>
    <t>606330</t>
  </si>
  <si>
    <t>606331</t>
  </si>
  <si>
    <t>606333</t>
  </si>
  <si>
    <t>606334</t>
  </si>
  <si>
    <t xml:space="preserve">606334 - Entretien Remorque </t>
  </si>
  <si>
    <t>606336</t>
  </si>
  <si>
    <t>606340</t>
  </si>
  <si>
    <t>606350</t>
  </si>
  <si>
    <t>606360</t>
  </si>
  <si>
    <t>606400</t>
  </si>
  <si>
    <t>606500</t>
  </si>
  <si>
    <t>606510</t>
  </si>
  <si>
    <t>606520</t>
  </si>
  <si>
    <t>606530</t>
  </si>
  <si>
    <t>607100</t>
  </si>
  <si>
    <t>611000</t>
  </si>
  <si>
    <t>612000</t>
  </si>
  <si>
    <t>612100</t>
  </si>
  <si>
    <t>613000</t>
  </si>
  <si>
    <t>613100</t>
  </si>
  <si>
    <t>613110</t>
  </si>
  <si>
    <t>613200</t>
  </si>
  <si>
    <t>613501</t>
  </si>
  <si>
    <t>615010</t>
  </si>
  <si>
    <t>615600</t>
  </si>
  <si>
    <t>616000</t>
  </si>
  <si>
    <t>616100</t>
  </si>
  <si>
    <t>616800</t>
  </si>
  <si>
    <t>618500</t>
  </si>
  <si>
    <t>621000</t>
  </si>
  <si>
    <t>622000</t>
  </si>
  <si>
    <t>622600</t>
  </si>
  <si>
    <t>623200</t>
  </si>
  <si>
    <t>623400</t>
  </si>
  <si>
    <t>623410</t>
  </si>
  <si>
    <t>623600</t>
  </si>
  <si>
    <t>623800</t>
  </si>
  <si>
    <t>625000</t>
  </si>
  <si>
    <t>625110</t>
  </si>
  <si>
    <t>626100</t>
  </si>
  <si>
    <t>626200</t>
  </si>
  <si>
    <t>627000</t>
  </si>
  <si>
    <t>633300</t>
  </si>
  <si>
    <t>635130</t>
  </si>
  <si>
    <t>635130 - Autres impots - Ordures Ménagères</t>
  </si>
  <si>
    <t>635180</t>
  </si>
  <si>
    <t>641000</t>
  </si>
  <si>
    <t>641400</t>
  </si>
  <si>
    <t>645100</t>
  </si>
  <si>
    <t>645200</t>
  </si>
  <si>
    <t>645300</t>
  </si>
  <si>
    <t>658000</t>
  </si>
  <si>
    <t>681100</t>
  </si>
  <si>
    <t>Encours</t>
  </si>
  <si>
    <t>Recettes</t>
  </si>
  <si>
    <t>Dépenses</t>
  </si>
  <si>
    <t>SUBVENTIONS</t>
  </si>
  <si>
    <t>REVENUS ADHERENTS</t>
  </si>
  <si>
    <t>COLLECTE POUR PARTENAIRES</t>
  </si>
  <si>
    <t>TOTAL BUDGET</t>
  </si>
  <si>
    <t>SOUS TOTAL ACTIVITE DES COMMISSIONS</t>
  </si>
  <si>
    <t>SOUS TOTAL FRAIS BATIMENT</t>
  </si>
  <si>
    <t>SOUS TOTAL FRAIS SALAiRES</t>
  </si>
  <si>
    <t>SOUS TOTAL FRAIS GENERAUX</t>
  </si>
  <si>
    <t>RESULTAT</t>
  </si>
  <si>
    <t>Période en cours</t>
  </si>
  <si>
    <t>%</t>
  </si>
  <si>
    <t>GESTION comptable</t>
  </si>
  <si>
    <t>Nombre de jour CANTADOC</t>
  </si>
  <si>
    <t>Nombre de jour AZUR</t>
  </si>
  <si>
    <t>CLE DE REPARTITION DES FRAIS JOURNALIER A AMORTIR</t>
  </si>
  <si>
    <t>total</t>
  </si>
  <si>
    <t>habitables</t>
  </si>
  <si>
    <t>Dragons</t>
  </si>
  <si>
    <t>voile légère</t>
  </si>
  <si>
    <t>Rondes</t>
  </si>
  <si>
    <t>Nombre d'evènement</t>
  </si>
  <si>
    <t>CANTADOC</t>
  </si>
  <si>
    <t>CAPELADO</t>
  </si>
  <si>
    <t>AZUR</t>
  </si>
  <si>
    <t>SECRETARIAT</t>
  </si>
  <si>
    <t>divers autre</t>
  </si>
  <si>
    <t>Nombre de jour CAPELADO</t>
  </si>
  <si>
    <t>TARIF</t>
  </si>
  <si>
    <t>A la Journée</t>
  </si>
  <si>
    <t>Par evènement</t>
  </si>
  <si>
    <t>MONTANT budget A AMORTIR</t>
  </si>
  <si>
    <t>PRIX DE REVIENT</t>
  </si>
  <si>
    <t>DECISION CD</t>
  </si>
  <si>
    <t>647500</t>
  </si>
  <si>
    <t>647500 - Médecine du travail, pharmacie AISMT</t>
  </si>
  <si>
    <t>Budget 2025</t>
  </si>
  <si>
    <t>Réel 2024</t>
  </si>
  <si>
    <t>Correction du résultat pour collecte partenaire</t>
  </si>
  <si>
    <t>657110</t>
  </si>
  <si>
    <t>657110 - Bourses aux autres régatiers (courses extérieures)</t>
  </si>
  <si>
    <t xml:space="preserve">657110 - Bourses aux autres régatiers </t>
  </si>
  <si>
    <t>754100 - DONS-Collecte Repas ROTARY Race</t>
  </si>
  <si>
    <t>740700</t>
  </si>
  <si>
    <t>740700 - Subventions Dragon</t>
  </si>
  <si>
    <t>758000</t>
  </si>
  <si>
    <t>758000 - Ecart compta en crédit</t>
  </si>
  <si>
    <t>757000</t>
  </si>
  <si>
    <t>757000 - Vente bateau</t>
  </si>
  <si>
    <t>622200 - Rémunérations d'intermédiaires et honoraires</t>
  </si>
  <si>
    <t>622200</t>
  </si>
  <si>
    <t>606170</t>
  </si>
  <si>
    <t>606170 - Carburant CAPELADO</t>
  </si>
  <si>
    <t>616200</t>
  </si>
  <si>
    <t>616200 - Assurance 6 Opti du CDV</t>
  </si>
  <si>
    <t>654000</t>
  </si>
  <si>
    <t>654000 - Pertes sur créances irrécouvrables</t>
  </si>
  <si>
    <t>741100 - Subventions Conseil Départemental</t>
  </si>
  <si>
    <t>ATTERRISSAGE</t>
  </si>
  <si>
    <t>628000</t>
  </si>
  <si>
    <t>628000 - Services extérieurs, frais divers (ex: journée de formation)</t>
  </si>
  <si>
    <t>621100 - Personnel exterieur Dragon</t>
  </si>
  <si>
    <t>621100</t>
  </si>
  <si>
    <t xml:space="preserve">Compte bancaire au </t>
  </si>
  <si>
    <t>Grandes lignes :</t>
  </si>
  <si>
    <t>Recettes issues de l'activité des comissions supérieures au budget (vente Diplomatico)</t>
  </si>
  <si>
    <t>Recettes des adhésions en baisse par rapport au budget</t>
  </si>
  <si>
    <t>Subventions en dessous du budget</t>
  </si>
  <si>
    <t>Frais généraux en baisse par rapport au budget</t>
  </si>
  <si>
    <t xml:space="preserve">AU 10/12/2025 </t>
  </si>
  <si>
    <t xml:space="preserve">La situation au 10/12 laisse apparaitre un résultat : </t>
  </si>
  <si>
    <t>positif de 7000 euros</t>
  </si>
  <si>
    <t>La situation de trésorerie reste très favorable +23 k€</t>
  </si>
  <si>
    <t>Atterissage : situation prévue en fin d'année : +1500</t>
  </si>
  <si>
    <t>nous devons payer la capitainerie 10902 euros</t>
  </si>
  <si>
    <t>nous encaissons les adhésions 2026 qui ne seront comptabilisée qu'en 2026 : +11000 euros</t>
  </si>
  <si>
    <t>Le succès des activités de fin d'année nous permet d'espéré faire mieux que le budget</t>
  </si>
  <si>
    <t>prise en compte des charges et produits  constatés d'avance qui degage un résultat positif</t>
  </si>
  <si>
    <t>une subvention à encaisser 2000 euros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</si>
</sst>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indexed="8"/>
      <name val="Calibri"/>
    </font>
    <font>
      <sz val="10"/>
      <color indexed="8"/>
      <name val="Arial"/>
    </font>
    <font>
      <sz val="14"/>
      <color theme="1"/>
      <name val="Calibri"/>
      <family val="2"/>
      <scheme val="minor"/>
    </font>
  </fonts>
  <fills count="18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79998168889431442"/>
        <bgColor theme="4" tint="0.79998168889431442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79998168889431442"/>
        <bgColor theme="4" tint="0.79998168889431442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2" tint="-9.9948118533890809E-2"/>
        <bgColor indexed="64"/>
      </patternFill>
    </fill>
    <fill>
      <patternFill patternType="solid">
        <fgColor indexed="22"/>
        <bgColor indexed="0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0"/>
        <bgColor indexed="64"/>
      </patternFill>
    </fill>
  </fills>
  <borders count="56">
    <border>
      <left/>
      <right/>
      <top/>
      <bottom/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theme="4" tint="0.3999755851924192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ck">
        <color auto="1"/>
      </left>
      <right/>
      <top style="thick">
        <color auto="1"/>
      </top>
      <bottom style="thin">
        <color auto="1"/>
      </bottom>
      <diagonal/>
    </border>
    <border>
      <left/>
      <right/>
      <top style="thick">
        <color auto="1"/>
      </top>
      <bottom style="thin">
        <color auto="1"/>
      </bottom>
      <diagonal/>
    </border>
    <border>
      <left/>
      <right style="thick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/>
      <top/>
      <bottom/>
      <diagonal/>
    </border>
    <border>
      <left/>
      <right style="thick">
        <color auto="1"/>
      </right>
      <top/>
      <bottom/>
      <diagonal/>
    </border>
    <border>
      <left style="thick">
        <color auto="1"/>
      </left>
      <right/>
      <top style="thin">
        <color auto="1"/>
      </top>
      <bottom style="thin">
        <color auto="1"/>
      </bottom>
      <diagonal/>
    </border>
    <border>
      <left/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 style="thin">
        <color auto="1"/>
      </top>
      <bottom/>
      <diagonal/>
    </border>
  </borders>
  <cellStyleXfs count="3">
    <xf numFmtId="0" fontId="0" fillId="0" borderId="0"/>
    <xf numFmtId="0" fontId="4" fillId="0" borderId="0"/>
    <xf numFmtId="0" fontId="7" fillId="0" borderId="0"/>
  </cellStyleXfs>
  <cellXfs count="225"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1" fillId="2" borderId="2" xfId="0" applyFont="1" applyFill="1" applyBorder="1"/>
    <xf numFmtId="0" fontId="0" fillId="2" borderId="3" xfId="0" applyFill="1" applyBorder="1"/>
    <xf numFmtId="0" fontId="0" fillId="3" borderId="2" xfId="0" applyFill="1" applyBorder="1"/>
    <xf numFmtId="0" fontId="0" fillId="3" borderId="3" xfId="0" applyFill="1" applyBorder="1"/>
    <xf numFmtId="0" fontId="0" fillId="3" borderId="0" xfId="0" applyFill="1"/>
    <xf numFmtId="0" fontId="0" fillId="4" borderId="2" xfId="0" applyFill="1" applyBorder="1"/>
    <xf numFmtId="0" fontId="0" fillId="4" borderId="3" xfId="0" applyFill="1" applyBorder="1"/>
    <xf numFmtId="0" fontId="0" fillId="4" borderId="0" xfId="0" applyFill="1"/>
    <xf numFmtId="0" fontId="0" fillId="5" borderId="2" xfId="0" applyFill="1" applyBorder="1"/>
    <xf numFmtId="0" fontId="0" fillId="5" borderId="3" xfId="0" applyFill="1" applyBorder="1"/>
    <xf numFmtId="0" fontId="0" fillId="5" borderId="0" xfId="0" applyFill="1"/>
    <xf numFmtId="0" fontId="0" fillId="6" borderId="2" xfId="0" applyFill="1" applyBorder="1"/>
    <xf numFmtId="0" fontId="0" fillId="6" borderId="3" xfId="0" applyFill="1" applyBorder="1"/>
    <xf numFmtId="0" fontId="0" fillId="6" borderId="0" xfId="0" applyFill="1"/>
    <xf numFmtId="0" fontId="0" fillId="7" borderId="4" xfId="0" applyFont="1" applyFill="1" applyBorder="1"/>
    <xf numFmtId="0" fontId="0" fillId="8" borderId="2" xfId="0" applyFill="1" applyBorder="1"/>
    <xf numFmtId="0" fontId="0" fillId="8" borderId="3" xfId="0" applyFill="1" applyBorder="1"/>
    <xf numFmtId="0" fontId="0" fillId="8" borderId="0" xfId="0" applyFill="1"/>
    <xf numFmtId="0" fontId="0" fillId="9" borderId="2" xfId="0" applyFill="1" applyBorder="1"/>
    <xf numFmtId="0" fontId="0" fillId="9" borderId="3" xfId="0" applyFill="1" applyBorder="1"/>
    <xf numFmtId="0" fontId="0" fillId="9" borderId="0" xfId="0" applyFill="1"/>
    <xf numFmtId="0" fontId="0" fillId="10" borderId="1" xfId="0" applyFont="1" applyFill="1" applyBorder="1"/>
    <xf numFmtId="0" fontId="1" fillId="5" borderId="2" xfId="0" applyFont="1" applyFill="1" applyBorder="1"/>
    <xf numFmtId="0" fontId="1" fillId="11" borderId="0" xfId="0" applyFont="1" applyFill="1"/>
    <xf numFmtId="0" fontId="0" fillId="11" borderId="0" xfId="0" applyFill="1"/>
    <xf numFmtId="0" fontId="0" fillId="12" borderId="3" xfId="0" applyFill="1" applyBorder="1"/>
    <xf numFmtId="0" fontId="1" fillId="12" borderId="2" xfId="0" applyFont="1" applyFill="1" applyBorder="1"/>
    <xf numFmtId="0" fontId="1" fillId="2" borderId="0" xfId="0" applyFont="1" applyFill="1" applyBorder="1"/>
    <xf numFmtId="0" fontId="0" fillId="2" borderId="0" xfId="0" applyFill="1" applyBorder="1"/>
    <xf numFmtId="0" fontId="0" fillId="13" borderId="0" xfId="0" applyFill="1"/>
    <xf numFmtId="0" fontId="0" fillId="13" borderId="2" xfId="0" applyFill="1" applyBorder="1"/>
    <xf numFmtId="0" fontId="0" fillId="13" borderId="3" xfId="0" applyFill="1" applyBorder="1"/>
    <xf numFmtId="0" fontId="1" fillId="8" borderId="2" xfId="0" applyFont="1" applyFill="1" applyBorder="1"/>
    <xf numFmtId="0" fontId="1" fillId="8" borderId="0" xfId="0" applyFont="1" applyFill="1" applyBorder="1"/>
    <xf numFmtId="0" fontId="0" fillId="8" borderId="0" xfId="0" applyFill="1" applyBorder="1"/>
    <xf numFmtId="0" fontId="0" fillId="2" borderId="0" xfId="0" applyFill="1"/>
    <xf numFmtId="0" fontId="0" fillId="2" borderId="1" xfId="0" applyFont="1" applyFill="1" applyBorder="1"/>
    <xf numFmtId="0" fontId="2" fillId="4" borderId="3" xfId="0" applyFont="1" applyFill="1" applyBorder="1"/>
    <xf numFmtId="0" fontId="2" fillId="6" borderId="3" xfId="0" applyFont="1" applyFill="1" applyBorder="1"/>
    <xf numFmtId="0" fontId="2" fillId="5" borderId="3" xfId="0" applyFont="1" applyFill="1" applyBorder="1"/>
    <xf numFmtId="0" fontId="2" fillId="8" borderId="3" xfId="0" applyFont="1" applyFill="1" applyBorder="1"/>
    <xf numFmtId="0" fontId="2" fillId="9" borderId="3" xfId="0" applyFont="1" applyFill="1" applyBorder="1"/>
    <xf numFmtId="0" fontId="2" fillId="12" borderId="3" xfId="0" applyFont="1" applyFill="1" applyBorder="1"/>
    <xf numFmtId="0" fontId="2" fillId="2" borderId="3" xfId="0" applyFont="1" applyFill="1" applyBorder="1"/>
    <xf numFmtId="0" fontId="2" fillId="13" borderId="3" xfId="0" applyFont="1" applyFill="1" applyBorder="1"/>
    <xf numFmtId="9" fontId="2" fillId="8" borderId="3" xfId="0" applyNumberFormat="1" applyFont="1" applyFill="1" applyBorder="1"/>
    <xf numFmtId="9" fontId="2" fillId="4" borderId="3" xfId="0" applyNumberFormat="1" applyFont="1" applyFill="1" applyBorder="1"/>
    <xf numFmtId="9" fontId="2" fillId="6" borderId="3" xfId="0" applyNumberFormat="1" applyFont="1" applyFill="1" applyBorder="1"/>
    <xf numFmtId="9" fontId="2" fillId="5" borderId="3" xfId="0" applyNumberFormat="1" applyFont="1" applyFill="1" applyBorder="1"/>
    <xf numFmtId="9" fontId="2" fillId="9" borderId="3" xfId="0" applyNumberFormat="1" applyFont="1" applyFill="1" applyBorder="1"/>
    <xf numFmtId="9" fontId="2" fillId="12" borderId="3" xfId="0" applyNumberFormat="1" applyFont="1" applyFill="1" applyBorder="1"/>
    <xf numFmtId="9" fontId="0" fillId="2" borderId="3" xfId="0" applyNumberFormat="1" applyFill="1" applyBorder="1"/>
    <xf numFmtId="9" fontId="2" fillId="13" borderId="3" xfId="0" applyNumberFormat="1" applyFont="1" applyFill="1" applyBorder="1"/>
    <xf numFmtId="9" fontId="0" fillId="8" borderId="3" xfId="0" applyNumberFormat="1" applyFill="1" applyBorder="1"/>
    <xf numFmtId="9" fontId="2" fillId="2" borderId="3" xfId="0" applyNumberFormat="1" applyFont="1" applyFill="1" applyBorder="1"/>
    <xf numFmtId="9" fontId="1" fillId="2" borderId="0" xfId="0" applyNumberFormat="1" applyFont="1" applyFill="1" applyBorder="1"/>
    <xf numFmtId="9" fontId="0" fillId="2" borderId="0" xfId="0" applyNumberFormat="1" applyFill="1" applyBorder="1"/>
    <xf numFmtId="9" fontId="1" fillId="8" borderId="0" xfId="0" applyNumberFormat="1" applyFont="1" applyFill="1" applyBorder="1"/>
    <xf numFmtId="0" fontId="2" fillId="3" borderId="7" xfId="0" applyFont="1" applyFill="1" applyBorder="1"/>
    <xf numFmtId="9" fontId="2" fillId="3" borderId="8" xfId="0" applyNumberFormat="1" applyFont="1" applyFill="1" applyBorder="1"/>
    <xf numFmtId="0" fontId="2" fillId="3" borderId="8" xfId="0" applyFont="1" applyFill="1" applyBorder="1"/>
    <xf numFmtId="0" fontId="0" fillId="3" borderId="10" xfId="0" applyFill="1" applyBorder="1"/>
    <xf numFmtId="9" fontId="0" fillId="3" borderId="0" xfId="0" applyNumberFormat="1" applyFill="1" applyBorder="1"/>
    <xf numFmtId="0" fontId="0" fillId="3" borderId="0" xfId="0" applyFill="1" applyBorder="1"/>
    <xf numFmtId="0" fontId="2" fillId="4" borderId="12" xfId="0" applyFont="1" applyFill="1" applyBorder="1"/>
    <xf numFmtId="0" fontId="0" fillId="4" borderId="10" xfId="0" applyFill="1" applyBorder="1"/>
    <xf numFmtId="9" fontId="0" fillId="4" borderId="0" xfId="0" applyNumberFormat="1" applyFill="1" applyBorder="1"/>
    <xf numFmtId="0" fontId="0" fillId="4" borderId="0" xfId="0" applyFill="1" applyBorder="1"/>
    <xf numFmtId="0" fontId="2" fillId="6" borderId="12" xfId="0" applyFont="1" applyFill="1" applyBorder="1"/>
    <xf numFmtId="0" fontId="0" fillId="6" borderId="10" xfId="0" applyFill="1" applyBorder="1"/>
    <xf numFmtId="9" fontId="0" fillId="6" borderId="0" xfId="0" applyNumberFormat="1" applyFill="1" applyBorder="1"/>
    <xf numFmtId="0" fontId="0" fillId="6" borderId="0" xfId="0" applyFill="1" applyBorder="1"/>
    <xf numFmtId="0" fontId="2" fillId="5" borderId="12" xfId="0" applyFont="1" applyFill="1" applyBorder="1"/>
    <xf numFmtId="0" fontId="0" fillId="5" borderId="10" xfId="0" applyFill="1" applyBorder="1"/>
    <xf numFmtId="9" fontId="0" fillId="5" borderId="0" xfId="0" applyNumberFormat="1" applyFill="1" applyBorder="1"/>
    <xf numFmtId="0" fontId="0" fillId="5" borderId="0" xfId="0" applyFill="1" applyBorder="1"/>
    <xf numFmtId="0" fontId="2" fillId="8" borderId="12" xfId="0" applyFont="1" applyFill="1" applyBorder="1"/>
    <xf numFmtId="0" fontId="0" fillId="8" borderId="10" xfId="0" applyFill="1" applyBorder="1"/>
    <xf numFmtId="9" fontId="0" fillId="8" borderId="0" xfId="0" applyNumberFormat="1" applyFill="1" applyBorder="1"/>
    <xf numFmtId="0" fontId="2" fillId="9" borderId="12" xfId="0" applyFont="1" applyFill="1" applyBorder="1"/>
    <xf numFmtId="0" fontId="0" fillId="9" borderId="10" xfId="0" applyFill="1" applyBorder="1"/>
    <xf numFmtId="9" fontId="0" fillId="9" borderId="0" xfId="0" applyNumberFormat="1" applyFill="1" applyBorder="1"/>
    <xf numFmtId="0" fontId="0" fillId="9" borderId="0" xfId="0" applyFill="1" applyBorder="1"/>
    <xf numFmtId="0" fontId="2" fillId="12" borderId="12" xfId="0" applyFont="1" applyFill="1" applyBorder="1"/>
    <xf numFmtId="0" fontId="0" fillId="2" borderId="12" xfId="0" applyFill="1" applyBorder="1"/>
    <xf numFmtId="0" fontId="2" fillId="13" borderId="12" xfId="0" applyFont="1" applyFill="1" applyBorder="1"/>
    <xf numFmtId="0" fontId="0" fillId="13" borderId="10" xfId="0" applyFill="1" applyBorder="1"/>
    <xf numFmtId="9" fontId="0" fillId="13" borderId="0" xfId="0" applyNumberFormat="1" applyFill="1" applyBorder="1"/>
    <xf numFmtId="0" fontId="0" fillId="13" borderId="0" xfId="0" applyFill="1" applyBorder="1"/>
    <xf numFmtId="0" fontId="2" fillId="2" borderId="12" xfId="0" applyFont="1" applyFill="1" applyBorder="1"/>
    <xf numFmtId="0" fontId="0" fillId="2" borderId="10" xfId="0" applyFill="1" applyBorder="1"/>
    <xf numFmtId="0" fontId="0" fillId="0" borderId="10" xfId="0" applyFill="1" applyBorder="1"/>
    <xf numFmtId="0" fontId="0" fillId="0" borderId="0" xfId="0" applyFill="1" applyBorder="1"/>
    <xf numFmtId="0" fontId="2" fillId="11" borderId="10" xfId="0" applyFont="1" applyFill="1" applyBorder="1"/>
    <xf numFmtId="9" fontId="2" fillId="11" borderId="0" xfId="0" applyNumberFormat="1" applyFont="1" applyFill="1" applyBorder="1"/>
    <xf numFmtId="0" fontId="2" fillId="11" borderId="0" xfId="0" applyFont="1" applyFill="1" applyBorder="1"/>
    <xf numFmtId="0" fontId="2" fillId="11" borderId="14" xfId="0" applyFont="1" applyFill="1" applyBorder="1"/>
    <xf numFmtId="9" fontId="2" fillId="11" borderId="15" xfId="0" applyNumberFormat="1" applyFont="1" applyFill="1" applyBorder="1"/>
    <xf numFmtId="0" fontId="2" fillId="11" borderId="15" xfId="0" applyFont="1" applyFill="1" applyBorder="1"/>
    <xf numFmtId="0" fontId="0" fillId="0" borderId="16" xfId="0" applyBorder="1"/>
    <xf numFmtId="0" fontId="1" fillId="2" borderId="10" xfId="0" applyFont="1" applyFill="1" applyBorder="1"/>
    <xf numFmtId="0" fontId="1" fillId="8" borderId="10" xfId="0" applyFont="1" applyFill="1" applyBorder="1"/>
    <xf numFmtId="9" fontId="2" fillId="0" borderId="0" xfId="0" applyNumberFormat="1" applyFont="1" applyFill="1" applyBorder="1"/>
    <xf numFmtId="9" fontId="2" fillId="0" borderId="18" xfId="0" applyNumberFormat="1" applyFont="1" applyFill="1" applyBorder="1"/>
    <xf numFmtId="0" fontId="3" fillId="0" borderId="14" xfId="0" applyFont="1" applyBorder="1"/>
    <xf numFmtId="0" fontId="3" fillId="0" borderId="15" xfId="0" applyFont="1" applyBorder="1"/>
    <xf numFmtId="1" fontId="2" fillId="3" borderId="9" xfId="0" applyNumberFormat="1" applyFont="1" applyFill="1" applyBorder="1"/>
    <xf numFmtId="1" fontId="0" fillId="3" borderId="11" xfId="0" applyNumberFormat="1" applyFill="1" applyBorder="1"/>
    <xf numFmtId="1" fontId="2" fillId="4" borderId="13" xfId="0" applyNumberFormat="1" applyFont="1" applyFill="1" applyBorder="1"/>
    <xf numFmtId="1" fontId="0" fillId="4" borderId="11" xfId="0" applyNumberFormat="1" applyFill="1" applyBorder="1"/>
    <xf numFmtId="1" fontId="2" fillId="6" borderId="13" xfId="0" applyNumberFormat="1" applyFont="1" applyFill="1" applyBorder="1"/>
    <xf numFmtId="1" fontId="0" fillId="6" borderId="11" xfId="0" applyNumberFormat="1" applyFill="1" applyBorder="1"/>
    <xf numFmtId="1" fontId="2" fillId="5" borderId="13" xfId="0" applyNumberFormat="1" applyFont="1" applyFill="1" applyBorder="1"/>
    <xf numFmtId="1" fontId="0" fillId="5" borderId="11" xfId="0" applyNumberFormat="1" applyFill="1" applyBorder="1"/>
    <xf numFmtId="1" fontId="2" fillId="8" borderId="13" xfId="0" applyNumberFormat="1" applyFont="1" applyFill="1" applyBorder="1"/>
    <xf numFmtId="1" fontId="0" fillId="8" borderId="11" xfId="0" applyNumberFormat="1" applyFill="1" applyBorder="1"/>
    <xf numFmtId="1" fontId="2" fillId="9" borderId="13" xfId="0" applyNumberFormat="1" applyFont="1" applyFill="1" applyBorder="1"/>
    <xf numFmtId="1" fontId="0" fillId="9" borderId="11" xfId="0" applyNumberFormat="1" applyFill="1" applyBorder="1"/>
    <xf numFmtId="1" fontId="2" fillId="12" borderId="13" xfId="0" applyNumberFormat="1" applyFont="1" applyFill="1" applyBorder="1"/>
    <xf numFmtId="1" fontId="0" fillId="2" borderId="13" xfId="0" applyNumberFormat="1" applyFill="1" applyBorder="1"/>
    <xf numFmtId="1" fontId="2" fillId="13" borderId="13" xfId="0" applyNumberFormat="1" applyFont="1" applyFill="1" applyBorder="1"/>
    <xf numFmtId="1" fontId="0" fillId="13" borderId="11" xfId="0" applyNumberFormat="1" applyFill="1" applyBorder="1"/>
    <xf numFmtId="1" fontId="0" fillId="8" borderId="20" xfId="0" applyNumberFormat="1" applyFill="1" applyBorder="1"/>
    <xf numFmtId="1" fontId="2" fillId="2" borderId="13" xfId="0" applyNumberFormat="1" applyFont="1" applyFill="1" applyBorder="1"/>
    <xf numFmtId="1" fontId="0" fillId="2" borderId="11" xfId="0" applyNumberFormat="1" applyFill="1" applyBorder="1"/>
    <xf numFmtId="1" fontId="0" fillId="0" borderId="11" xfId="0" applyNumberFormat="1" applyBorder="1"/>
    <xf numFmtId="1" fontId="2" fillId="11" borderId="11" xfId="0" applyNumberFormat="1" applyFont="1" applyFill="1" applyBorder="1"/>
    <xf numFmtId="1" fontId="2" fillId="11" borderId="16" xfId="0" applyNumberFormat="1" applyFont="1" applyFill="1" applyBorder="1"/>
    <xf numFmtId="1" fontId="1" fillId="2" borderId="11" xfId="0" applyNumberFormat="1" applyFont="1" applyFill="1" applyBorder="1"/>
    <xf numFmtId="1" fontId="1" fillId="8" borderId="11" xfId="0" applyNumberFormat="1" applyFont="1" applyFill="1" applyBorder="1"/>
    <xf numFmtId="0" fontId="0" fillId="0" borderId="0" xfId="0" applyFill="1"/>
    <xf numFmtId="0" fontId="0" fillId="0" borderId="0" xfId="0"/>
    <xf numFmtId="0" fontId="0" fillId="0" borderId="21" xfId="0" applyBorder="1"/>
    <xf numFmtId="0" fontId="0" fillId="0" borderId="28" xfId="0" applyBorder="1"/>
    <xf numFmtId="0" fontId="5" fillId="0" borderId="29" xfId="0" applyFont="1" applyBorder="1"/>
    <xf numFmtId="0" fontId="5" fillId="0" borderId="35" xfId="0" applyFont="1" applyBorder="1"/>
    <xf numFmtId="0" fontId="0" fillId="0" borderId="36" xfId="0" applyBorder="1"/>
    <xf numFmtId="0" fontId="0" fillId="0" borderId="37" xfId="0" applyBorder="1"/>
    <xf numFmtId="0" fontId="5" fillId="0" borderId="38" xfId="0" applyFont="1" applyBorder="1"/>
    <xf numFmtId="0" fontId="5" fillId="0" borderId="32" xfId="0" applyFont="1" applyBorder="1" applyAlignment="1">
      <alignment horizontal="right"/>
    </xf>
    <xf numFmtId="0" fontId="0" fillId="0" borderId="33" xfId="0" applyBorder="1"/>
    <xf numFmtId="0" fontId="0" fillId="0" borderId="34" xfId="0" applyBorder="1"/>
    <xf numFmtId="0" fontId="0" fillId="0" borderId="30" xfId="0" applyBorder="1"/>
    <xf numFmtId="0" fontId="0" fillId="0" borderId="31" xfId="0" applyBorder="1"/>
    <xf numFmtId="0" fontId="5" fillId="0" borderId="39" xfId="0" applyFont="1" applyBorder="1"/>
    <xf numFmtId="0" fontId="0" fillId="0" borderId="26" xfId="0" applyBorder="1"/>
    <xf numFmtId="0" fontId="0" fillId="0" borderId="27" xfId="0" applyBorder="1"/>
    <xf numFmtId="0" fontId="5" fillId="0" borderId="0" xfId="0" applyFont="1" applyFill="1" applyBorder="1"/>
    <xf numFmtId="0" fontId="5" fillId="0" borderId="0" xfId="0" applyFont="1" applyBorder="1" applyAlignment="1">
      <alignment horizontal="right"/>
    </xf>
    <xf numFmtId="0" fontId="0" fillId="0" borderId="0" xfId="0" applyBorder="1"/>
    <xf numFmtId="1" fontId="0" fillId="0" borderId="43" xfId="0" applyNumberFormat="1" applyBorder="1"/>
    <xf numFmtId="0" fontId="0" fillId="0" borderId="45" xfId="0" applyBorder="1"/>
    <xf numFmtId="0" fontId="0" fillId="0" borderId="46" xfId="0" applyBorder="1"/>
    <xf numFmtId="0" fontId="0" fillId="0" borderId="47" xfId="0" applyBorder="1"/>
    <xf numFmtId="0" fontId="0" fillId="0" borderId="48" xfId="0" applyBorder="1"/>
    <xf numFmtId="1" fontId="0" fillId="0" borderId="49" xfId="0" applyNumberFormat="1" applyBorder="1"/>
    <xf numFmtId="0" fontId="0" fillId="0" borderId="50" xfId="0" applyBorder="1"/>
    <xf numFmtId="0" fontId="5" fillId="0" borderId="51" xfId="0" applyFont="1" applyFill="1" applyBorder="1"/>
    <xf numFmtId="1" fontId="0" fillId="0" borderId="52" xfId="0" applyNumberFormat="1" applyBorder="1"/>
    <xf numFmtId="0" fontId="0" fillId="0" borderId="43" xfId="0" applyBorder="1"/>
    <xf numFmtId="0" fontId="0" fillId="0" borderId="44" xfId="0" applyBorder="1"/>
    <xf numFmtId="0" fontId="0" fillId="0" borderId="53" xfId="0" applyBorder="1"/>
    <xf numFmtId="0" fontId="0" fillId="0" borderId="54" xfId="0" applyBorder="1"/>
    <xf numFmtId="0" fontId="0" fillId="0" borderId="41" xfId="0" applyBorder="1"/>
    <xf numFmtId="0" fontId="0" fillId="0" borderId="49" xfId="0" applyBorder="1"/>
    <xf numFmtId="0" fontId="0" fillId="0" borderId="51" xfId="0" applyBorder="1"/>
    <xf numFmtId="0" fontId="0" fillId="0" borderId="52" xfId="0" applyBorder="1"/>
    <xf numFmtId="10" fontId="0" fillId="15" borderId="0" xfId="0" applyNumberFormat="1" applyFill="1"/>
    <xf numFmtId="1" fontId="0" fillId="0" borderId="46" xfId="0" applyNumberFormat="1" applyBorder="1"/>
    <xf numFmtId="1" fontId="0" fillId="0" borderId="47" xfId="0" applyNumberFormat="1" applyBorder="1"/>
    <xf numFmtId="0" fontId="5" fillId="0" borderId="45" xfId="0" applyFont="1" applyFill="1" applyBorder="1"/>
    <xf numFmtId="0" fontId="5" fillId="0" borderId="48" xfId="0" applyFont="1" applyFill="1" applyBorder="1"/>
    <xf numFmtId="1" fontId="0" fillId="0" borderId="0" xfId="0" applyNumberFormat="1" applyBorder="1"/>
    <xf numFmtId="0" fontId="5" fillId="0" borderId="50" xfId="0" applyFont="1" applyFill="1" applyBorder="1"/>
    <xf numFmtId="1" fontId="0" fillId="0" borderId="51" xfId="0" applyNumberFormat="1" applyBorder="1"/>
    <xf numFmtId="1" fontId="0" fillId="8" borderId="3" xfId="0" applyNumberFormat="1" applyFill="1" applyBorder="1"/>
    <xf numFmtId="0" fontId="2" fillId="8" borderId="10" xfId="0" applyFont="1" applyFill="1" applyBorder="1"/>
    <xf numFmtId="9" fontId="2" fillId="8" borderId="0" xfId="0" applyNumberFormat="1" applyFont="1" applyFill="1" applyBorder="1"/>
    <xf numFmtId="0" fontId="1" fillId="0" borderId="0" xfId="0" applyFont="1"/>
    <xf numFmtId="0" fontId="0" fillId="8" borderId="55" xfId="0" applyFill="1" applyBorder="1"/>
    <xf numFmtId="0" fontId="6" fillId="14" borderId="5" xfId="2" applyFont="1" applyFill="1" applyBorder="1" applyAlignment="1">
      <alignment horizontal="center"/>
    </xf>
    <xf numFmtId="0" fontId="6" fillId="0" borderId="6" xfId="2" applyFont="1" applyFill="1" applyBorder="1" applyAlignment="1">
      <alignment wrapText="1"/>
    </xf>
    <xf numFmtId="0" fontId="6" fillId="0" borderId="6" xfId="2" applyFont="1" applyFill="1" applyBorder="1" applyAlignment="1">
      <alignment horizontal="right" wrapText="1"/>
    </xf>
    <xf numFmtId="0" fontId="7" fillId="0" borderId="0" xfId="2"/>
    <xf numFmtId="0" fontId="0" fillId="4" borderId="13" xfId="0" applyFill="1" applyBorder="1"/>
    <xf numFmtId="0" fontId="6" fillId="16" borderId="6" xfId="2" applyNumberFormat="1" applyFont="1" applyFill="1" applyBorder="1" applyAlignment="1">
      <alignment wrapText="1"/>
    </xf>
    <xf numFmtId="0" fontId="0" fillId="17" borderId="0" xfId="0" applyFill="1"/>
    <xf numFmtId="0" fontId="1" fillId="0" borderId="16" xfId="0" applyFont="1" applyBorder="1"/>
    <xf numFmtId="0" fontId="8" fillId="0" borderId="15" xfId="0" applyFont="1" applyBorder="1"/>
    <xf numFmtId="1" fontId="0" fillId="0" borderId="0" xfId="0" applyNumberFormat="1"/>
    <xf numFmtId="0" fontId="1" fillId="0" borderId="17" xfId="0" applyFont="1" applyBorder="1" applyAlignment="1">
      <alignment horizontal="center"/>
    </xf>
    <xf numFmtId="0" fontId="1" fillId="0" borderId="18" xfId="0" applyFont="1" applyBorder="1" applyAlignment="1">
      <alignment horizontal="center"/>
    </xf>
    <xf numFmtId="0" fontId="1" fillId="0" borderId="19" xfId="0" applyFont="1" applyBorder="1" applyAlignment="1">
      <alignment horizontal="center"/>
    </xf>
    <xf numFmtId="0" fontId="0" fillId="0" borderId="23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0" fillId="0" borderId="42" xfId="0" applyBorder="1" applyAlignment="1">
      <alignment horizontal="center"/>
    </xf>
    <xf numFmtId="0" fontId="0" fillId="0" borderId="43" xfId="0" applyBorder="1" applyAlignment="1">
      <alignment horizontal="center"/>
    </xf>
    <xf numFmtId="0" fontId="0" fillId="0" borderId="44" xfId="0" applyBorder="1" applyAlignment="1">
      <alignment horizontal="center"/>
    </xf>
    <xf numFmtId="0" fontId="0" fillId="0" borderId="24" xfId="0" applyBorder="1" applyAlignment="1">
      <alignment horizontal="center" vertical="center"/>
    </xf>
    <xf numFmtId="0" fontId="0" fillId="0" borderId="40" xfId="0" applyBorder="1" applyAlignment="1">
      <alignment horizontal="center" vertical="center"/>
    </xf>
    <xf numFmtId="0" fontId="0" fillId="0" borderId="24" xfId="0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6" fillId="15" borderId="6" xfId="2" applyFont="1" applyFill="1" applyBorder="1" applyAlignment="1">
      <alignment wrapText="1"/>
    </xf>
    <xf numFmtId="0" fontId="6" fillId="15" borderId="6" xfId="2" applyFont="1" applyFill="1" applyBorder="1" applyAlignment="1">
      <alignment horizontal="right" wrapText="1"/>
    </xf>
    <xf numFmtId="0" fontId="0" fillId="15" borderId="0" xfId="0" applyFill="1"/>
    <xf numFmtId="14" fontId="0" fillId="0" borderId="0" xfId="0" applyNumberFormat="1"/>
  </cellXfs>
  <cellStyles count="3">
    <cellStyle name="Normal" xfId="0" builtinId="0"/>
    <cellStyle name="Normal 2" xfId="1"/>
    <cellStyle name="Normal_Import budget N N-1" xfId="2"/>
  </cellStyles>
  <dxfs count="5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none"/>
      </font>
      <fill>
        <patternFill patternType="none">
          <fgColor indexed="64"/>
          <bgColor indexed="65"/>
        </patternFill>
      </fill>
      <alignment horizontal="right" vertical="bottom" textRotation="0" wrapText="1" indent="0" justifyLastLine="0" shrinkToFit="0" readingOrder="0"/>
      <border diagonalUp="0" diagonalDown="0"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none"/>
      </font>
      <fill>
        <patternFill patternType="none">
          <fgColor indexed="64"/>
          <bgColor indexed="65"/>
        </patternFill>
      </fill>
      <alignment horizontal="right" vertical="bottom" textRotation="0" wrapText="1" indent="0" justifyLastLine="0" shrinkToFit="0" readingOrder="0"/>
      <border diagonalUp="0" diagonalDown="0"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none"/>
      </font>
      <fill>
        <patternFill patternType="none">
          <fgColor indexed="64"/>
          <bgColor indexed="65"/>
        </patternFill>
      </fill>
      <alignment horizontal="right" vertical="bottom" textRotation="0" wrapText="1" indent="0" justifyLastLine="0" shrinkToFit="0" readingOrder="0"/>
      <border diagonalUp="0" diagonalDown="0"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1" indent="0" justifyLastLine="0" shrinkToFit="0" readingOrder="0"/>
      <border diagonalUp="0" diagonalDown="0"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1" indent="0" justifyLastLine="0" shrinkToFit="0" readingOrder="0"/>
      <border diagonalUp="0" diagonalDown="0"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connections" Target="connection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535781</xdr:colOff>
      <xdr:row>1</xdr:row>
      <xdr:rowOff>0</xdr:rowOff>
    </xdr:from>
    <xdr:to>
      <xdr:col>22</xdr:col>
      <xdr:colOff>41808</xdr:colOff>
      <xdr:row>21</xdr:row>
      <xdr:rowOff>64383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6454437" y="202406"/>
          <a:ext cx="7042684" cy="5017383"/>
        </a:xfrm>
        <a:prstGeom prst="rect">
          <a:avLst/>
        </a:prstGeom>
      </xdr:spPr>
    </xdr:pic>
    <xdr:clientData/>
  </xdr:twoCellAnchor>
  <xdr:twoCellAnchor editAs="oneCell">
    <xdr:from>
      <xdr:col>26</xdr:col>
      <xdr:colOff>0</xdr:colOff>
      <xdr:row>1</xdr:row>
      <xdr:rowOff>0</xdr:rowOff>
    </xdr:from>
    <xdr:to>
      <xdr:col>30</xdr:col>
      <xdr:colOff>443336</xdr:colOff>
      <xdr:row>19</xdr:row>
      <xdr:rowOff>14911</xdr:rowOff>
    </xdr:to>
    <xdr:pic>
      <xdr:nvPicPr>
        <xdr:cNvPr id="4" name="Image 3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4419719" y="202406"/>
          <a:ext cx="3038899" cy="4467849"/>
        </a:xfrm>
        <a:prstGeom prst="rect">
          <a:avLst/>
        </a:prstGeom>
      </xdr:spPr>
    </xdr:pic>
    <xdr:clientData/>
  </xdr:twoCellAnchor>
</xdr:wsDr>
</file>

<file path=xl/queryTables/queryTable1.xml><?xml version="1.0" encoding="utf-8"?>
<queryTable xmlns="http://schemas.openxmlformats.org/spreadsheetml/2006/main" name="sngrpc.accdb" connectionId="1" autoFormatId="16" applyNumberFormats="0" applyBorderFormats="0" applyFontFormats="0" applyPatternFormats="0" applyAlignmentFormats="0" applyWidthHeightFormats="0">
  <queryTableRefresh nextId="6" unboundColumnsRight="1">
    <queryTableFields count="5">
      <queryTableField id="1" name="numero-compte" tableColumnId="1"/>
      <queryTableField id="2" name="Compte" tableColumnId="2"/>
      <queryTableField id="3" name="réalisé 2024" tableColumnId="3"/>
      <queryTableField id="4" name="budget 2025" tableColumnId="4"/>
      <queryTableField id="5" dataBound="0" tableColumnId="5"/>
    </queryTable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table1.xml><?xml version="1.0" encoding="utf-8"?>
<table xmlns="http://schemas.openxmlformats.org/spreadsheetml/2006/main" id="1" name="Tableau_sngrpc.accdb" displayName="Tableau_sngrpc.accdb" ref="A1:E100" tableType="queryTable" totalsRowShown="0">
  <autoFilter ref="A1:E100"/>
  <tableColumns count="5">
    <tableColumn id="1" uniqueName="1" name="numero-compte" queryTableFieldId="1" totalsRowDxfId="4"/>
    <tableColumn id="2" uniqueName="2" name="Compte" queryTableFieldId="2" totalsRowDxfId="3"/>
    <tableColumn id="3" uniqueName="3" name="Période en cours" queryTableFieldId="3" totalsRowDxfId="2"/>
    <tableColumn id="4" uniqueName="4" name="budget 2025" queryTableFieldId="4" totalsRowDxfId="1"/>
    <tableColumn id="5" uniqueName="5" name="réalisé 2024" queryTableFieldId="5" totalsRow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06"/>
  <sheetViews>
    <sheetView tabSelected="1" topLeftCell="D1" zoomScale="80" zoomScaleNormal="80" workbookViewId="0">
      <selection activeCell="AB30" sqref="AB30"/>
    </sheetView>
  </sheetViews>
  <sheetFormatPr baseColWidth="10" defaultColWidth="9.140625" defaultRowHeight="15" x14ac:dyDescent="0.25"/>
  <cols>
    <col min="1" max="1" width="36.85546875" bestFit="1" customWidth="1"/>
    <col min="2" max="2" width="1.42578125" customWidth="1"/>
    <col min="3" max="3" width="56.42578125" customWidth="1"/>
    <col min="4" max="4" width="12.85546875" customWidth="1"/>
    <col min="5" max="5" width="7.28515625" style="18" customWidth="1"/>
    <col min="6" max="6" width="14.140625" customWidth="1"/>
    <col min="7" max="7" width="11.5703125" customWidth="1"/>
    <col min="8" max="8" width="50.28515625" bestFit="1" customWidth="1"/>
    <col min="9" max="9" width="12.85546875" customWidth="1"/>
    <col min="10" max="10" width="6.7109375" style="18" customWidth="1"/>
    <col min="11" max="11" width="16.85546875" customWidth="1"/>
    <col min="12" max="12" width="11.42578125" customWidth="1"/>
    <col min="14" max="14" width="21.42578125" bestFit="1" customWidth="1"/>
    <col min="16" max="16" width="11.28515625" customWidth="1"/>
    <col min="18" max="18" width="11.28515625" customWidth="1"/>
    <col min="20" max="20" width="11.42578125" customWidth="1"/>
    <col min="22" max="22" width="12.140625" customWidth="1"/>
    <col min="24" max="24" width="11.7109375" customWidth="1"/>
    <col min="26" max="26" width="11.85546875" customWidth="1"/>
    <col min="28" max="28" width="11.5703125" bestFit="1" customWidth="1"/>
  </cols>
  <sheetData>
    <row r="1" spans="1:12" ht="15.75" thickBot="1" x14ac:dyDescent="0.3"/>
    <row r="2" spans="1:12" ht="15.75" thickTop="1" x14ac:dyDescent="0.25">
      <c r="D2" s="209" t="s">
        <v>188</v>
      </c>
      <c r="E2" s="210"/>
      <c r="F2" s="210"/>
      <c r="G2" s="211"/>
      <c r="I2" s="209" t="s">
        <v>187</v>
      </c>
      <c r="J2" s="210"/>
      <c r="K2" s="210"/>
      <c r="L2" s="211"/>
    </row>
    <row r="3" spans="1:12" ht="19.5" thickBot="1" x14ac:dyDescent="0.35">
      <c r="D3" s="123" t="s">
        <v>186</v>
      </c>
      <c r="E3" s="124" t="s">
        <v>199</v>
      </c>
      <c r="F3" s="124" t="s">
        <v>224</v>
      </c>
      <c r="G3" s="118" t="s">
        <v>225</v>
      </c>
      <c r="I3" s="123" t="s">
        <v>186</v>
      </c>
      <c r="J3" s="124" t="s">
        <v>199</v>
      </c>
      <c r="K3" s="124" t="s">
        <v>224</v>
      </c>
      <c r="L3" s="118" t="s">
        <v>225</v>
      </c>
    </row>
    <row r="4" spans="1:12" ht="19.5" customHeight="1" thickTop="1" x14ac:dyDescent="0.25">
      <c r="A4" s="21" t="s">
        <v>0</v>
      </c>
      <c r="B4" s="22"/>
      <c r="C4" s="22"/>
      <c r="D4" s="77">
        <f>SUM((D5:D10))</f>
        <v>3673.5600000000004</v>
      </c>
      <c r="E4" s="78">
        <f>IF(F4=0,0,D4/F4)</f>
        <v>0.62795897435897441</v>
      </c>
      <c r="F4" s="79">
        <f>SUM((F5:F10))</f>
        <v>5850</v>
      </c>
      <c r="G4" s="125">
        <f>SUM((G5:G10))</f>
        <v>6957.22</v>
      </c>
      <c r="H4" s="22"/>
      <c r="I4" s="77">
        <f>SUM(I5:I9)</f>
        <v>5492.8</v>
      </c>
      <c r="J4" s="78">
        <f>IF(K4=0,0,I4/K4)</f>
        <v>0.76288888888888895</v>
      </c>
      <c r="K4" s="79">
        <f>SUM(K5:K9)</f>
        <v>7200</v>
      </c>
      <c r="L4" s="125">
        <f>SUM(L5:L9)</f>
        <v>8519.2999999999993</v>
      </c>
    </row>
    <row r="5" spans="1:12" ht="19.5" customHeight="1" x14ac:dyDescent="0.25">
      <c r="A5" s="23"/>
      <c r="B5" s="23"/>
      <c r="C5" s="23" t="s">
        <v>30</v>
      </c>
      <c r="D5" s="80">
        <f>-'Import budget N N-1'!C27</f>
        <v>0</v>
      </c>
      <c r="E5" s="81">
        <f t="shared" ref="E5:E79" si="0">IF(F5=0,0,D5/F5)</f>
        <v>0</v>
      </c>
      <c r="F5" s="82">
        <f>-'Import budget N N-1'!D27</f>
        <v>0</v>
      </c>
      <c r="G5" s="126">
        <f>-'Import budget N N-1'!E27</f>
        <v>-720</v>
      </c>
      <c r="H5" s="23" t="s">
        <v>5</v>
      </c>
      <c r="I5" s="80">
        <f>'Import budget N N-1'!C2</f>
        <v>234</v>
      </c>
      <c r="J5" s="81">
        <f t="shared" ref="J5:J72" si="1">IF(K5=0,0,I5/K5)</f>
        <v>0.23400000000000001</v>
      </c>
      <c r="K5" s="82">
        <f>'Import budget N N-1'!D2</f>
        <v>1000</v>
      </c>
      <c r="L5" s="126">
        <f>'Import budget N N-1'!E2</f>
        <v>0</v>
      </c>
    </row>
    <row r="6" spans="1:12" ht="19.5" customHeight="1" x14ac:dyDescent="0.25">
      <c r="A6" s="23"/>
      <c r="B6" s="23"/>
      <c r="C6" s="23" t="s">
        <v>50</v>
      </c>
      <c r="D6" s="80">
        <f>-'Import budget N N-1'!C49</f>
        <v>2156.11</v>
      </c>
      <c r="E6" s="81">
        <f t="shared" si="0"/>
        <v>0.8624440000000001</v>
      </c>
      <c r="F6" s="82">
        <f>-'Import budget N N-1'!D49</f>
        <v>2500</v>
      </c>
      <c r="G6" s="126">
        <f>-'Import budget N N-1'!E49</f>
        <v>3134.59</v>
      </c>
      <c r="H6" s="23" t="s">
        <v>8</v>
      </c>
      <c r="I6" s="80">
        <f>'Import budget N N-1'!C4</f>
        <v>3540</v>
      </c>
      <c r="J6" s="81">
        <f t="shared" si="1"/>
        <v>0.70799999999999996</v>
      </c>
      <c r="K6" s="82">
        <f>'Import budget N N-1'!D4</f>
        <v>5000</v>
      </c>
      <c r="L6" s="126">
        <f>'Import budget N N-1'!E4</f>
        <v>5771</v>
      </c>
    </row>
    <row r="7" spans="1:12" ht="19.5" customHeight="1" x14ac:dyDescent="0.25">
      <c r="A7" s="23"/>
      <c r="B7" s="23"/>
      <c r="C7" s="23" t="s">
        <v>53</v>
      </c>
      <c r="D7" s="80">
        <f>-'Import budget N N-1'!C52</f>
        <v>0</v>
      </c>
      <c r="E7" s="81">
        <f t="shared" si="0"/>
        <v>0</v>
      </c>
      <c r="F7" s="82">
        <f>-'Import budget N N-1'!D52</f>
        <v>1000</v>
      </c>
      <c r="G7" s="126">
        <f>-'Import budget N N-1'!E52</f>
        <v>1793.76</v>
      </c>
      <c r="H7" s="23" t="s">
        <v>10</v>
      </c>
      <c r="I7" s="80">
        <f>'Import budget N N-1'!C6</f>
        <v>50</v>
      </c>
      <c r="J7" s="81">
        <f t="shared" si="1"/>
        <v>0.25</v>
      </c>
      <c r="K7" s="82">
        <f>'Import budget N N-1'!D6</f>
        <v>200</v>
      </c>
      <c r="L7" s="126">
        <f>'Import budget N N-1'!E6</f>
        <v>1033</v>
      </c>
    </row>
    <row r="8" spans="1:12" s="2" customFormat="1" ht="19.5" customHeight="1" x14ac:dyDescent="0.25">
      <c r="A8" s="23"/>
      <c r="B8" s="23"/>
      <c r="C8" s="23" t="s">
        <v>37</v>
      </c>
      <c r="D8" s="80">
        <f>-'Import budget N N-1'!C34</f>
        <v>219.9</v>
      </c>
      <c r="E8" s="81">
        <f t="shared" si="0"/>
        <v>0.48866666666666669</v>
      </c>
      <c r="F8" s="82">
        <f>-'Import budget N N-1'!D34</f>
        <v>450</v>
      </c>
      <c r="G8" s="126">
        <f>-'Import budget N N-1'!E34</f>
        <v>792.48</v>
      </c>
      <c r="H8" s="23" t="s">
        <v>26</v>
      </c>
      <c r="I8" s="80">
        <f>'Import budget N N-1'!C22</f>
        <v>1668.8</v>
      </c>
      <c r="J8" s="81">
        <f t="shared" si="1"/>
        <v>1.6688000000000001</v>
      </c>
      <c r="K8" s="82">
        <f>'Import budget N N-1'!D22</f>
        <v>1000</v>
      </c>
      <c r="L8" s="126">
        <f>'Import budget N N-1'!E22</f>
        <v>1715.3</v>
      </c>
    </row>
    <row r="9" spans="1:12" ht="19.5" customHeight="1" x14ac:dyDescent="0.25">
      <c r="A9" s="23"/>
      <c r="B9" s="23"/>
      <c r="C9" s="23" t="s">
        <v>62</v>
      </c>
      <c r="D9" s="80">
        <f>-'Import budget N N-1'!C61</f>
        <v>-150</v>
      </c>
      <c r="E9" s="81">
        <f t="shared" si="0"/>
        <v>-0.15</v>
      </c>
      <c r="F9" s="82">
        <f>-'Import budget N N-1'!D61</f>
        <v>1000</v>
      </c>
      <c r="G9" s="126">
        <f>-'Import budget N N-1'!E61</f>
        <v>900</v>
      </c>
      <c r="H9" s="23"/>
      <c r="I9" s="80"/>
      <c r="J9" s="81"/>
      <c r="K9" s="82"/>
      <c r="L9" s="126"/>
    </row>
    <row r="10" spans="1:12" s="150" customFormat="1" ht="19.5" customHeight="1" x14ac:dyDescent="0.25">
      <c r="A10" s="23"/>
      <c r="B10" s="23"/>
      <c r="C10" s="23" t="s">
        <v>49</v>
      </c>
      <c r="D10" s="23">
        <f>-'Import budget N N-1'!C48</f>
        <v>1447.55</v>
      </c>
      <c r="E10" s="81">
        <f t="shared" ref="E10" si="2">IF(F10=0,0,D10/F10)</f>
        <v>1.6083888888888889</v>
      </c>
      <c r="F10" s="23">
        <f>-'Import budget N N-1'!D48</f>
        <v>900</v>
      </c>
      <c r="G10" s="126">
        <f>-'Import budget N N-1'!E48</f>
        <v>1056.3900000000001</v>
      </c>
      <c r="H10" s="23"/>
      <c r="I10" s="80"/>
      <c r="J10" s="81"/>
      <c r="K10" s="82"/>
      <c r="L10" s="126"/>
    </row>
    <row r="11" spans="1:12" ht="19.5" customHeight="1" x14ac:dyDescent="0.25">
      <c r="A11" s="24" t="s">
        <v>1</v>
      </c>
      <c r="B11" s="25"/>
      <c r="C11" s="25"/>
      <c r="D11" s="83">
        <f>SUM((D12:D17))</f>
        <v>20303.61</v>
      </c>
      <c r="E11" s="65">
        <f t="shared" si="0"/>
        <v>1.241811009174312</v>
      </c>
      <c r="F11" s="56">
        <f>SUM((F12:F17))</f>
        <v>16350</v>
      </c>
      <c r="G11" s="127">
        <f>SUM((G12:G17))</f>
        <v>16631.27</v>
      </c>
      <c r="H11" s="25"/>
      <c r="I11" s="83">
        <f>SUM((I12:I17))</f>
        <v>39952.22</v>
      </c>
      <c r="J11" s="65">
        <f t="shared" si="1"/>
        <v>1.4117392226148411</v>
      </c>
      <c r="K11" s="56">
        <f>SUM((K12:K17))</f>
        <v>28300</v>
      </c>
      <c r="L11" s="127">
        <f>SUM((L12:L17))</f>
        <v>32700</v>
      </c>
    </row>
    <row r="12" spans="1:12" ht="19.5" customHeight="1" x14ac:dyDescent="0.25">
      <c r="A12" s="26"/>
      <c r="B12" s="26"/>
      <c r="C12" s="26" t="s">
        <v>51</v>
      </c>
      <c r="D12" s="84">
        <f>-'Import budget N N-1'!C50</f>
        <v>7926.89</v>
      </c>
      <c r="E12" s="85">
        <f t="shared" si="0"/>
        <v>1.7615311111111112</v>
      </c>
      <c r="F12" s="86">
        <f>-'Import budget N N-1'!D50</f>
        <v>4500</v>
      </c>
      <c r="G12" s="128">
        <f>-'Import budget N N-1'!E50</f>
        <v>5629.3</v>
      </c>
      <c r="H12" s="26" t="s">
        <v>9</v>
      </c>
      <c r="I12" s="84">
        <f>'Import budget N N-1'!C5</f>
        <v>9255</v>
      </c>
      <c r="J12" s="85">
        <f t="shared" si="1"/>
        <v>11.56875</v>
      </c>
      <c r="K12" s="86">
        <f>'Import budget N N-1'!D5</f>
        <v>800</v>
      </c>
      <c r="L12" s="128">
        <f>'Import budget N N-1'!E5</f>
        <v>1480</v>
      </c>
    </row>
    <row r="13" spans="1:12" ht="19.5" customHeight="1" x14ac:dyDescent="0.25">
      <c r="A13" s="26"/>
      <c r="B13" s="26"/>
      <c r="C13" s="26" t="s">
        <v>38</v>
      </c>
      <c r="D13" s="84">
        <f>-'Import budget N N-1'!C35</f>
        <v>5155.87</v>
      </c>
      <c r="E13" s="85">
        <f t="shared" si="0"/>
        <v>1.3220179487179486</v>
      </c>
      <c r="F13" s="86">
        <f>-'Import budget N N-1'!D35</f>
        <v>3900</v>
      </c>
      <c r="G13" s="128">
        <f>-'Import budget N N-1'!E35</f>
        <v>4079.77</v>
      </c>
      <c r="H13" s="26" t="s">
        <v>11</v>
      </c>
      <c r="I13" s="84">
        <f>'Import budget N N-1'!C7</f>
        <v>25065</v>
      </c>
      <c r="J13" s="85">
        <f t="shared" si="1"/>
        <v>1.0443750000000001</v>
      </c>
      <c r="K13" s="86">
        <f>'Import budget N N-1'!D7</f>
        <v>24000</v>
      </c>
      <c r="L13" s="128">
        <f>'Import budget N N-1'!E7</f>
        <v>24103</v>
      </c>
    </row>
    <row r="14" spans="1:12" ht="19.5" customHeight="1" x14ac:dyDescent="0.25">
      <c r="A14" s="26"/>
      <c r="B14" s="26"/>
      <c r="C14" s="26" t="s">
        <v>32</v>
      </c>
      <c r="D14" s="84">
        <f>-'Import budget N N-1'!C29</f>
        <v>279.38</v>
      </c>
      <c r="E14" s="85">
        <f t="shared" si="0"/>
        <v>0.27938000000000002</v>
      </c>
      <c r="F14" s="86">
        <f>-'Import budget N N-1'!D29</f>
        <v>1000</v>
      </c>
      <c r="G14" s="128">
        <f>-'Import budget N N-1'!E29</f>
        <v>886.64</v>
      </c>
      <c r="H14" s="26" t="s">
        <v>13</v>
      </c>
      <c r="I14" s="84">
        <f>'Import budget N N-1'!C9</f>
        <v>5632.22</v>
      </c>
      <c r="J14" s="85">
        <f t="shared" si="1"/>
        <v>1.6092057142857144</v>
      </c>
      <c r="K14" s="86">
        <f>'Import budget N N-1'!D9</f>
        <v>3500</v>
      </c>
      <c r="L14" s="128">
        <f>'Import budget N N-1'!E9</f>
        <v>7117</v>
      </c>
    </row>
    <row r="15" spans="1:12" s="3" customFormat="1" ht="19.5" customHeight="1" x14ac:dyDescent="0.25">
      <c r="A15" s="26"/>
      <c r="B15" s="26"/>
      <c r="C15" s="26" t="s">
        <v>57</v>
      </c>
      <c r="D15" s="84">
        <f>-'Import budget N N-1'!C56</f>
        <v>2520</v>
      </c>
      <c r="E15" s="85">
        <f t="shared" si="0"/>
        <v>1.4823529411764707</v>
      </c>
      <c r="F15" s="86">
        <f>-'Import budget N N-1'!D56</f>
        <v>1700</v>
      </c>
      <c r="G15" s="128">
        <f>-'Import budget N N-1'!E56</f>
        <v>1609.59</v>
      </c>
      <c r="H15" s="26"/>
      <c r="I15" s="84"/>
      <c r="J15" s="85"/>
      <c r="K15" s="86"/>
      <c r="L15" s="128"/>
    </row>
    <row r="16" spans="1:12" s="5" customFormat="1" ht="19.5" customHeight="1" x14ac:dyDescent="0.25">
      <c r="A16" s="26"/>
      <c r="B16" s="26"/>
      <c r="C16" s="26" t="s">
        <v>58</v>
      </c>
      <c r="D16" s="84">
        <f>-'Import budget N N-1'!C58</f>
        <v>0</v>
      </c>
      <c r="E16" s="85">
        <f t="shared" si="0"/>
        <v>0</v>
      </c>
      <c r="F16" s="86">
        <f>-'Import budget N N-1'!D58</f>
        <v>250</v>
      </c>
      <c r="G16" s="128">
        <f>-'Import budget N N-1'!E58</f>
        <v>100</v>
      </c>
      <c r="H16" s="26"/>
      <c r="I16" s="84"/>
      <c r="J16" s="85"/>
      <c r="K16" s="86"/>
      <c r="L16" s="128"/>
    </row>
    <row r="17" spans="1:28" s="14" customFormat="1" ht="19.5" customHeight="1" x14ac:dyDescent="0.25">
      <c r="A17" s="26"/>
      <c r="B17" s="26"/>
      <c r="C17" s="26" t="s">
        <v>71</v>
      </c>
      <c r="D17" s="84">
        <f>-'Import budget N N-1'!C70</f>
        <v>4421.47</v>
      </c>
      <c r="E17" s="85">
        <f t="shared" si="0"/>
        <v>0.88429400000000002</v>
      </c>
      <c r="F17" s="86">
        <f>-'Import budget N N-1'!D70</f>
        <v>5000</v>
      </c>
      <c r="G17" s="128">
        <f>-'Import budget N N-1'!E70</f>
        <v>4325.97</v>
      </c>
      <c r="H17" s="26"/>
      <c r="I17" s="84"/>
      <c r="J17" s="85"/>
      <c r="K17" s="86"/>
      <c r="L17" s="128"/>
    </row>
    <row r="18" spans="1:28" s="150" customFormat="1" ht="19.5" customHeight="1" x14ac:dyDescent="0.25">
      <c r="A18" s="26"/>
      <c r="B18" s="26"/>
      <c r="C18" s="26"/>
      <c r="D18" s="84"/>
      <c r="E18" s="85"/>
      <c r="F18" s="26"/>
      <c r="G18" s="128"/>
      <c r="H18" s="26"/>
      <c r="I18" s="84"/>
      <c r="J18" s="85"/>
      <c r="K18" s="86"/>
      <c r="L18" s="128"/>
    </row>
    <row r="19" spans="1:28" s="5" customFormat="1" ht="19.5" customHeight="1" x14ac:dyDescent="0.25">
      <c r="A19" s="30" t="s">
        <v>18</v>
      </c>
      <c r="B19" s="31"/>
      <c r="C19" s="31"/>
      <c r="D19" s="87">
        <f>SUM((D20:D22))</f>
        <v>2060.65</v>
      </c>
      <c r="E19" s="66">
        <f t="shared" si="0"/>
        <v>1.28790625</v>
      </c>
      <c r="F19" s="57">
        <f>SUM((F20:F22))</f>
        <v>1600</v>
      </c>
      <c r="G19" s="129">
        <f>SUM((G20:G22))</f>
        <v>1490.66</v>
      </c>
      <c r="H19" s="31"/>
      <c r="I19" s="87">
        <f>SUM((I20:I21))</f>
        <v>2890</v>
      </c>
      <c r="J19" s="66">
        <f t="shared" si="1"/>
        <v>1.1559999999999999</v>
      </c>
      <c r="K19" s="57">
        <f>SUM((K20:K21))</f>
        <v>2500</v>
      </c>
      <c r="L19" s="129">
        <f>SUM((L20:L21))</f>
        <v>2219</v>
      </c>
    </row>
    <row r="20" spans="1:28" s="5" customFormat="1" ht="19.5" customHeight="1" x14ac:dyDescent="0.25">
      <c r="A20" s="32"/>
      <c r="B20" s="32"/>
      <c r="C20" s="33" t="s">
        <v>132</v>
      </c>
      <c r="D20" s="88">
        <f>-'Import budget N N-1'!C38</f>
        <v>66</v>
      </c>
      <c r="E20" s="89">
        <f t="shared" si="0"/>
        <v>0.66</v>
      </c>
      <c r="F20" s="90">
        <f>-'Import budget N N-1'!D38</f>
        <v>100</v>
      </c>
      <c r="G20" s="130">
        <f>-'Import budget N N-1'!E38</f>
        <v>0</v>
      </c>
      <c r="H20" s="32" t="s">
        <v>19</v>
      </c>
      <c r="I20" s="88">
        <f>'Import budget N N-1'!C14</f>
        <v>1090</v>
      </c>
      <c r="J20" s="89">
        <f t="shared" si="1"/>
        <v>1.3625</v>
      </c>
      <c r="K20" s="90">
        <f>'Import budget N N-1'!D14</f>
        <v>800</v>
      </c>
      <c r="L20" s="130">
        <f>'Import budget N N-1'!E14</f>
        <v>660</v>
      </c>
    </row>
    <row r="21" spans="1:28" s="3" customFormat="1" ht="19.5" customHeight="1" x14ac:dyDescent="0.25">
      <c r="A21" s="32"/>
      <c r="B21" s="32"/>
      <c r="C21" s="32" t="s">
        <v>73</v>
      </c>
      <c r="D21" s="88">
        <f>-'Import budget N N-1'!C72</f>
        <v>1744.65</v>
      </c>
      <c r="E21" s="89">
        <f t="shared" si="0"/>
        <v>1.1631</v>
      </c>
      <c r="F21" s="90">
        <f>-'Import budget N N-1'!D72</f>
        <v>1500</v>
      </c>
      <c r="G21" s="130">
        <f>-'Import budget N N-1'!E72</f>
        <v>1490.66</v>
      </c>
      <c r="H21" s="32" t="s">
        <v>14</v>
      </c>
      <c r="I21" s="88">
        <f>'Import budget N N-1'!C10</f>
        <v>1800</v>
      </c>
      <c r="J21" s="89">
        <f t="shared" si="1"/>
        <v>1.0588235294117647</v>
      </c>
      <c r="K21" s="90">
        <f>'Import budget N N-1'!D10</f>
        <v>1700</v>
      </c>
      <c r="L21" s="130">
        <f>'Import budget N N-1'!E10</f>
        <v>1559</v>
      </c>
    </row>
    <row r="22" spans="1:28" s="150" customFormat="1" ht="19.5" customHeight="1" x14ac:dyDescent="0.25">
      <c r="A22" s="32"/>
      <c r="B22" s="32"/>
      <c r="C22" s="32" t="str">
        <f>'Import budget N N-1'!B99</f>
        <v>628000 - Services extérieurs, frais divers (ex: journée de formation)</v>
      </c>
      <c r="D22" s="88">
        <f>-'Import budget N N-1'!C99</f>
        <v>250</v>
      </c>
      <c r="E22" s="89">
        <f t="shared" ref="E22" si="3">IF(F22=0,0,D22/F22)</f>
        <v>0</v>
      </c>
      <c r="F22" s="32">
        <f>-'Import budget N N-1'!D99</f>
        <v>0</v>
      </c>
      <c r="G22" s="130">
        <f>-'Import budget N N-1'!E99</f>
        <v>0</v>
      </c>
      <c r="H22" s="32"/>
      <c r="I22" s="88"/>
      <c r="J22" s="89"/>
      <c r="K22" s="90"/>
      <c r="L22" s="130"/>
    </row>
    <row r="23" spans="1:28" ht="19.5" customHeight="1" x14ac:dyDescent="0.25">
      <c r="A23" s="27" t="s">
        <v>2</v>
      </c>
      <c r="B23" s="28"/>
      <c r="C23" s="28"/>
      <c r="D23" s="91">
        <f>SUM((D24:D27))</f>
        <v>470.29999999999995</v>
      </c>
      <c r="E23" s="67">
        <f t="shared" si="0"/>
        <v>0.1679642857142857</v>
      </c>
      <c r="F23" s="58">
        <f>SUM((F24:F27))</f>
        <v>2800</v>
      </c>
      <c r="G23" s="131">
        <f>SUM((G24:G27))</f>
        <v>2874.25</v>
      </c>
      <c r="H23" s="28"/>
      <c r="I23" s="91">
        <f>SUM((I24:I26))</f>
        <v>6678</v>
      </c>
      <c r="J23" s="67">
        <f t="shared" si="1"/>
        <v>0.76758620689655177</v>
      </c>
      <c r="K23" s="58">
        <f>SUM((K24:K26))</f>
        <v>8700</v>
      </c>
      <c r="L23" s="131">
        <f>SUM((L24:L26))</f>
        <v>8577</v>
      </c>
    </row>
    <row r="24" spans="1:28" s="1" customFormat="1" ht="19.5" customHeight="1" x14ac:dyDescent="0.25">
      <c r="A24" s="29"/>
      <c r="B24" s="29"/>
      <c r="C24" s="29" t="s">
        <v>40</v>
      </c>
      <c r="D24" s="92">
        <f>-'Import budget N N-1'!C37</f>
        <v>0</v>
      </c>
      <c r="E24" s="93">
        <f t="shared" si="0"/>
        <v>0</v>
      </c>
      <c r="F24" s="94">
        <f>-'Import budget N N-1'!D37</f>
        <v>150</v>
      </c>
      <c r="G24" s="132">
        <f>-'Import budget N N-1'!E37</f>
        <v>14.99</v>
      </c>
      <c r="H24" s="29" t="s">
        <v>12</v>
      </c>
      <c r="I24" s="92">
        <f>'Import budget N N-1'!C8</f>
        <v>828</v>
      </c>
      <c r="J24" s="93">
        <f t="shared" si="1"/>
        <v>1.1828571428571428</v>
      </c>
      <c r="K24" s="94">
        <f>'Import budget N N-1'!D8</f>
        <v>700</v>
      </c>
      <c r="L24" s="132">
        <f>'Import budget N N-1'!E8</f>
        <v>704</v>
      </c>
    </row>
    <row r="25" spans="1:28" s="4" customFormat="1" ht="19.5" customHeight="1" x14ac:dyDescent="0.25">
      <c r="A25" s="29"/>
      <c r="B25" s="29"/>
      <c r="C25" s="29" t="s">
        <v>45</v>
      </c>
      <c r="D25" s="92">
        <f>-'Import budget N N-1'!C44</f>
        <v>271.83999999999997</v>
      </c>
      <c r="E25" s="93">
        <f t="shared" si="0"/>
        <v>1.8122666666666665</v>
      </c>
      <c r="F25" s="94">
        <f>-'Import budget N N-1'!D44</f>
        <v>150</v>
      </c>
      <c r="G25" s="132">
        <f>-'Import budget N N-1'!E44</f>
        <v>55.26</v>
      </c>
      <c r="H25" s="29" t="s">
        <v>16</v>
      </c>
      <c r="I25" s="92">
        <f>'Import budget N N-1'!C12</f>
        <v>5850</v>
      </c>
      <c r="J25" s="93">
        <f t="shared" si="1"/>
        <v>0.73124999999999996</v>
      </c>
      <c r="K25" s="94">
        <f>'Import budget N N-1'!D12</f>
        <v>8000</v>
      </c>
      <c r="L25" s="132">
        <f>'Import budget N N-1'!E12</f>
        <v>7873</v>
      </c>
    </row>
    <row r="26" spans="1:28" s="10" customFormat="1" ht="19.5" customHeight="1" x14ac:dyDescent="0.25">
      <c r="A26" s="29"/>
      <c r="B26" s="29"/>
      <c r="C26" s="29" t="s">
        <v>54</v>
      </c>
      <c r="D26" s="92">
        <f>-'Import budget N N-1'!C53</f>
        <v>0</v>
      </c>
      <c r="E26" s="93">
        <f t="shared" si="0"/>
        <v>0</v>
      </c>
      <c r="F26" s="94">
        <f>-'Import budget N N-1'!D53</f>
        <v>2500</v>
      </c>
      <c r="G26" s="132">
        <f>-'Import budget N N-1'!E53</f>
        <v>2804</v>
      </c>
      <c r="H26" s="29"/>
      <c r="I26" s="92"/>
      <c r="J26" s="93"/>
      <c r="K26" s="94"/>
      <c r="L26" s="132"/>
    </row>
    <row r="27" spans="1:28" s="150" customFormat="1" ht="19.5" customHeight="1" x14ac:dyDescent="0.25">
      <c r="A27" s="29"/>
      <c r="B27" s="29"/>
      <c r="C27" s="29" t="s">
        <v>242</v>
      </c>
      <c r="D27" s="92">
        <f>-'Import budget N N-1'!C97</f>
        <v>198.46</v>
      </c>
      <c r="E27" s="93">
        <f t="shared" ref="E27" si="4">IF(F27=0,0,D27/F27)</f>
        <v>0</v>
      </c>
      <c r="F27" s="94">
        <f>-'Import budget N N-1'!D97</f>
        <v>0</v>
      </c>
      <c r="G27" s="132">
        <f>-'Import budget N N-1'!E97</f>
        <v>0</v>
      </c>
      <c r="H27" s="29"/>
      <c r="I27" s="92"/>
      <c r="J27" s="93"/>
      <c r="K27" s="94"/>
      <c r="L27" s="132"/>
      <c r="N27" s="150" t="s">
        <v>251</v>
      </c>
    </row>
    <row r="28" spans="1:28" s="150" customFormat="1" ht="19.5" customHeight="1" x14ac:dyDescent="0.25">
      <c r="A28" s="29"/>
      <c r="B28" s="29"/>
      <c r="C28" s="29"/>
      <c r="D28" s="92"/>
      <c r="E28" s="93"/>
      <c r="F28" s="29"/>
      <c r="G28" s="132"/>
      <c r="H28" s="29"/>
      <c r="I28" s="92"/>
      <c r="J28" s="93"/>
      <c r="K28" s="94"/>
      <c r="L28" s="132"/>
      <c r="N28" s="224">
        <v>45657</v>
      </c>
      <c r="P28" s="224">
        <v>45764</v>
      </c>
      <c r="R28" s="224">
        <v>45793</v>
      </c>
      <c r="T28" s="224">
        <v>45820</v>
      </c>
      <c r="V28" s="224">
        <v>45904</v>
      </c>
      <c r="X28" s="224">
        <v>45932</v>
      </c>
      <c r="Z28" s="224">
        <v>45973</v>
      </c>
      <c r="AB28" s="224">
        <v>46001</v>
      </c>
    </row>
    <row r="29" spans="1:28" ht="19.5" customHeight="1" x14ac:dyDescent="0.25">
      <c r="A29" s="34" t="s">
        <v>3</v>
      </c>
      <c r="B29" s="35"/>
      <c r="C29" s="35"/>
      <c r="D29" s="95">
        <f>SUM((D30:D32))</f>
        <v>5931.15</v>
      </c>
      <c r="E29" s="64">
        <f t="shared" si="0"/>
        <v>1.2893804347826086</v>
      </c>
      <c r="F29" s="59">
        <f>SUM((F30:F32))</f>
        <v>4600</v>
      </c>
      <c r="G29" s="133">
        <f>SUM((G30:G32))</f>
        <v>3091.1800000000003</v>
      </c>
      <c r="H29" s="35"/>
      <c r="I29" s="95">
        <f>SUM((I30:I32))</f>
        <v>10250</v>
      </c>
      <c r="J29" s="64">
        <f t="shared" si="1"/>
        <v>0.95794392523364491</v>
      </c>
      <c r="K29" s="59">
        <f>SUM((K30:K32))</f>
        <v>10700</v>
      </c>
      <c r="L29" s="133">
        <f>SUM((L30:L32))</f>
        <v>8570</v>
      </c>
      <c r="N29" s="150">
        <v>120533</v>
      </c>
      <c r="O29" s="150"/>
      <c r="P29" s="150">
        <f>1493.12+48174.29+22298.52+61586.09</f>
        <v>133552.02000000002</v>
      </c>
      <c r="Q29" s="150"/>
      <c r="R29" s="150">
        <f>19263+70000+1489+48174</f>
        <v>138926</v>
      </c>
      <c r="S29" s="150"/>
      <c r="T29" s="150">
        <f>19484.71+70000.09+1485.12+48174.29</f>
        <v>139144.21</v>
      </c>
      <c r="U29" s="150"/>
      <c r="V29" s="150">
        <f>6755.96+70000.09+1477.12+48174.29</f>
        <v>126407.45999999999</v>
      </c>
      <c r="W29" s="150"/>
      <c r="X29" s="150">
        <f>5673+70000+1473+48174</f>
        <v>125320</v>
      </c>
      <c r="Y29" s="150"/>
      <c r="Z29" s="150">
        <f>11420.31+70000.09+1465.12+48174.29</f>
        <v>131059.81</v>
      </c>
      <c r="AA29" s="150"/>
      <c r="AB29" s="150">
        <f>1461.12+48174.29+23456.93+70000.09</f>
        <v>143092.43</v>
      </c>
    </row>
    <row r="30" spans="1:28" ht="19.5" customHeight="1" x14ac:dyDescent="0.25">
      <c r="A30" s="36"/>
      <c r="B30" s="36"/>
      <c r="C30" s="36" t="s">
        <v>39</v>
      </c>
      <c r="D30" s="96">
        <f>-'Import budget N N-1'!C36</f>
        <v>1442.95</v>
      </c>
      <c r="E30" s="97">
        <f t="shared" si="0"/>
        <v>2.0613571428571431</v>
      </c>
      <c r="F30" s="53">
        <f>-'Import budget N N-1'!D36</f>
        <v>700</v>
      </c>
      <c r="G30" s="134">
        <f>-'Import budget N N-1'!E36</f>
        <v>514.34</v>
      </c>
      <c r="H30" s="36" t="s">
        <v>17</v>
      </c>
      <c r="I30" s="96">
        <f>'Import budget N N-1'!C13</f>
        <v>7200</v>
      </c>
      <c r="J30" s="97">
        <f t="shared" si="1"/>
        <v>0.9</v>
      </c>
      <c r="K30" s="53">
        <f>'Import budget N N-1'!D13</f>
        <v>8000</v>
      </c>
      <c r="L30" s="134">
        <f>'Import budget N N-1'!E13</f>
        <v>5070</v>
      </c>
    </row>
    <row r="31" spans="1:28" ht="19.5" customHeight="1" x14ac:dyDescent="0.25">
      <c r="A31" s="36"/>
      <c r="B31" s="36"/>
      <c r="C31" s="36" t="s">
        <v>52</v>
      </c>
      <c r="D31" s="96">
        <f>-'Import budget N N-1'!C51</f>
        <v>2488.1999999999998</v>
      </c>
      <c r="E31" s="97">
        <f t="shared" si="0"/>
        <v>0.6379999999999999</v>
      </c>
      <c r="F31" s="53">
        <f>-'Import budget N N-1'!D51</f>
        <v>3900</v>
      </c>
      <c r="G31" s="134">
        <f>-'Import budget N N-1'!E51</f>
        <v>2576.84</v>
      </c>
      <c r="H31" s="36" t="s">
        <v>20</v>
      </c>
      <c r="I31" s="96">
        <f>'Import budget N N-1'!C15</f>
        <v>2050</v>
      </c>
      <c r="J31" s="97">
        <f t="shared" si="1"/>
        <v>0.7592592592592593</v>
      </c>
      <c r="K31" s="53">
        <f>'Import budget N N-1'!D15</f>
        <v>2700</v>
      </c>
      <c r="L31" s="134">
        <f>'Import budget N N-1'!E15</f>
        <v>3500</v>
      </c>
    </row>
    <row r="32" spans="1:28" s="150" customFormat="1" ht="19.5" customHeight="1" x14ac:dyDescent="0.25">
      <c r="A32" s="36"/>
      <c r="B32" s="36"/>
      <c r="C32" s="36" t="s">
        <v>249</v>
      </c>
      <c r="D32" s="96">
        <f>-'Import budget N N-1'!C100</f>
        <v>2000</v>
      </c>
      <c r="E32" s="97">
        <f>IF(F32=0,0,D32/F32)</f>
        <v>0</v>
      </c>
      <c r="F32" s="36">
        <f>-'Import budget N N-1'!D100</f>
        <v>0</v>
      </c>
      <c r="G32" s="134">
        <f>-'Import budget N N-1'!E100</f>
        <v>0</v>
      </c>
      <c r="H32" s="204" t="s">
        <v>232</v>
      </c>
      <c r="I32" s="96">
        <f>'Import budget N N-1'!C92</f>
        <v>1000</v>
      </c>
      <c r="J32" s="97">
        <f t="shared" si="1"/>
        <v>0</v>
      </c>
      <c r="K32" s="53">
        <f>'Import budget N N-1'!D92</f>
        <v>0</v>
      </c>
      <c r="L32" s="134">
        <f>'Import budget N N-1'!E92</f>
        <v>0</v>
      </c>
    </row>
    <row r="33" spans="1:12" ht="19.5" customHeight="1" x14ac:dyDescent="0.25">
      <c r="A33" s="37" t="s">
        <v>7</v>
      </c>
      <c r="B33" s="38"/>
      <c r="C33" s="38"/>
      <c r="D33" s="98">
        <f>SUM((D34:D46))</f>
        <v>16661.91</v>
      </c>
      <c r="E33" s="68">
        <f t="shared" si="0"/>
        <v>1.3119614173228347</v>
      </c>
      <c r="F33" s="60">
        <f>SUM((F34:F46))</f>
        <v>12700</v>
      </c>
      <c r="G33" s="135">
        <f>SUM((G34:G46))</f>
        <v>10860.41</v>
      </c>
      <c r="H33" s="38"/>
      <c r="I33" s="98">
        <f>SUM((I34:I45))</f>
        <v>7500</v>
      </c>
      <c r="J33" s="68">
        <f t="shared" si="1"/>
        <v>0</v>
      </c>
      <c r="K33" s="60">
        <f>SUM((K34:K45))</f>
        <v>0</v>
      </c>
      <c r="L33" s="135">
        <f>SUM((L34:L45))</f>
        <v>150.75</v>
      </c>
    </row>
    <row r="34" spans="1:12" ht="19.5" customHeight="1" x14ac:dyDescent="0.25">
      <c r="A34" s="39"/>
      <c r="B34" s="39"/>
      <c r="C34" s="39" t="s">
        <v>33</v>
      </c>
      <c r="D34" s="99">
        <f>-'Import budget N N-1'!C30</f>
        <v>1374.91</v>
      </c>
      <c r="E34" s="100">
        <f t="shared" si="0"/>
        <v>1.6175411764705883</v>
      </c>
      <c r="F34" s="101">
        <f>-'Import budget N N-1'!D30</f>
        <v>850</v>
      </c>
      <c r="G34" s="136">
        <f>-'Import budget N N-1'!E30</f>
        <v>684.81</v>
      </c>
      <c r="H34" s="39" t="s">
        <v>6</v>
      </c>
      <c r="I34" s="99">
        <f>'Import budget N N-1'!C3</f>
        <v>0</v>
      </c>
      <c r="J34" s="100">
        <f t="shared" si="1"/>
        <v>0</v>
      </c>
      <c r="K34" s="101">
        <f>'Import budget N N-1'!D3</f>
        <v>0</v>
      </c>
      <c r="L34" s="136">
        <f>'Import budget N N-1'!E3</f>
        <v>150.75</v>
      </c>
    </row>
    <row r="35" spans="1:12" s="1" customFormat="1" ht="19.5" customHeight="1" x14ac:dyDescent="0.25">
      <c r="A35" s="39"/>
      <c r="B35" s="39"/>
      <c r="C35" s="39" t="s">
        <v>34</v>
      </c>
      <c r="D35" s="99">
        <f>-'Import budget N N-1'!C31</f>
        <v>50.1</v>
      </c>
      <c r="E35" s="100">
        <f t="shared" si="0"/>
        <v>1.002</v>
      </c>
      <c r="F35" s="101">
        <f>-'Import budget N N-1'!D31</f>
        <v>50</v>
      </c>
      <c r="G35" s="136">
        <f>-'Import budget N N-1'!E31</f>
        <v>666.03</v>
      </c>
      <c r="H35" s="39" t="s">
        <v>236</v>
      </c>
      <c r="I35" s="99">
        <f>'Import budget N N-1'!C94</f>
        <v>7500</v>
      </c>
      <c r="J35" s="100">
        <f t="shared" ref="J35" si="5">IF(K35=0,0,I35/K35)</f>
        <v>0</v>
      </c>
      <c r="K35" s="101">
        <f>'Import budget N N-1'!D94</f>
        <v>0</v>
      </c>
      <c r="L35" s="136">
        <f>'Import budget N N-1'!E94</f>
        <v>0</v>
      </c>
    </row>
    <row r="36" spans="1:12" s="8" customFormat="1" ht="19.5" customHeight="1" x14ac:dyDescent="0.25">
      <c r="A36" s="39"/>
      <c r="B36" s="39"/>
      <c r="C36" s="39" t="s">
        <v>35</v>
      </c>
      <c r="D36" s="99">
        <f>-'Import budget N N-1'!C32</f>
        <v>722.79</v>
      </c>
      <c r="E36" s="100">
        <f t="shared" si="0"/>
        <v>2.4093</v>
      </c>
      <c r="F36" s="101">
        <f>-'Import budget N N-1'!D32</f>
        <v>300</v>
      </c>
      <c r="G36" s="136">
        <f>-'Import budget N N-1'!E32</f>
        <v>254.96</v>
      </c>
      <c r="H36" s="39"/>
      <c r="I36" s="99"/>
      <c r="J36" s="100"/>
      <c r="K36" s="101"/>
      <c r="L36" s="136"/>
    </row>
    <row r="37" spans="1:12" s="150" customFormat="1" ht="19.5" customHeight="1" x14ac:dyDescent="0.25">
      <c r="A37" s="39"/>
      <c r="B37" s="39"/>
      <c r="C37" s="39" t="s">
        <v>240</v>
      </c>
      <c r="D37" s="99">
        <f>-'Import budget N N-1'!C96</f>
        <v>983.16</v>
      </c>
      <c r="E37" s="100">
        <f t="shared" ref="E37" si="6">IF(F37=0,0,D37/F37)</f>
        <v>2.1848000000000001</v>
      </c>
      <c r="F37" s="101">
        <f>-'Import budget N N-1'!D96</f>
        <v>450</v>
      </c>
      <c r="G37" s="136">
        <f>-'Import budget N N-1'!E96</f>
        <v>0</v>
      </c>
      <c r="H37" s="39"/>
      <c r="I37" s="99"/>
      <c r="J37" s="100"/>
      <c r="K37" s="101"/>
      <c r="L37" s="136"/>
    </row>
    <row r="38" spans="1:12" s="8" customFormat="1" ht="19.5" customHeight="1" x14ac:dyDescent="0.25">
      <c r="A38" s="39"/>
      <c r="B38" s="39"/>
      <c r="C38" s="39" t="s">
        <v>36</v>
      </c>
      <c r="D38" s="99">
        <f>-'Import budget N N-1'!C33</f>
        <v>608.34</v>
      </c>
      <c r="E38" s="100">
        <f t="shared" si="0"/>
        <v>1.0139</v>
      </c>
      <c r="F38" s="101">
        <f>-'Import budget N N-1'!D33</f>
        <v>600</v>
      </c>
      <c r="G38" s="136">
        <f>-'Import budget N N-1'!E33</f>
        <v>779.05</v>
      </c>
      <c r="H38" s="39"/>
      <c r="I38" s="99"/>
      <c r="J38" s="100"/>
      <c r="K38" s="101"/>
      <c r="L38" s="136"/>
    </row>
    <row r="39" spans="1:12" s="8" customFormat="1" ht="19.5" customHeight="1" x14ac:dyDescent="0.25">
      <c r="A39" s="39"/>
      <c r="B39" s="39"/>
      <c r="C39" s="39" t="s">
        <v>41</v>
      </c>
      <c r="D39" s="99">
        <f>-'Import budget N N-1'!C39</f>
        <v>2520.34</v>
      </c>
      <c r="E39" s="100">
        <f t="shared" si="0"/>
        <v>1.5274787878787879</v>
      </c>
      <c r="F39" s="101">
        <f>-'Import budget N N-1'!D39</f>
        <v>1650</v>
      </c>
      <c r="G39" s="136">
        <f>-'Import budget N N-1'!E39</f>
        <v>1843.15</v>
      </c>
      <c r="H39" s="39"/>
      <c r="I39" s="99"/>
      <c r="J39" s="100"/>
      <c r="K39" s="101"/>
      <c r="L39" s="136"/>
    </row>
    <row r="40" spans="1:12" s="9" customFormat="1" ht="19.5" customHeight="1" x14ac:dyDescent="0.25">
      <c r="A40" s="39"/>
      <c r="B40" s="39"/>
      <c r="C40" s="39" t="s">
        <v>42</v>
      </c>
      <c r="D40" s="99">
        <f>-'Import budget N N-1'!C40</f>
        <v>232.38</v>
      </c>
      <c r="E40" s="100">
        <f t="shared" si="0"/>
        <v>0</v>
      </c>
      <c r="F40" s="101">
        <f>-'Import budget N N-1'!D40</f>
        <v>0</v>
      </c>
      <c r="G40" s="136">
        <f>-'Import budget N N-1'!E40</f>
        <v>1179.58</v>
      </c>
      <c r="H40" s="39"/>
      <c r="I40" s="99"/>
      <c r="J40" s="100"/>
      <c r="K40" s="101"/>
      <c r="L40" s="136"/>
    </row>
    <row r="41" spans="1:12" s="9" customFormat="1" ht="19.5" customHeight="1" x14ac:dyDescent="0.25">
      <c r="A41" s="39"/>
      <c r="B41" s="39"/>
      <c r="C41" s="39" t="s">
        <v>43</v>
      </c>
      <c r="D41" s="99">
        <f>-'Import budget N N-1'!C41</f>
        <v>393.2</v>
      </c>
      <c r="E41" s="100">
        <f t="shared" si="0"/>
        <v>0.52426666666666666</v>
      </c>
      <c r="F41" s="101">
        <f>-'Import budget N N-1'!D41</f>
        <v>750</v>
      </c>
      <c r="G41" s="136">
        <f>-'Import budget N N-1'!E41</f>
        <v>707.88</v>
      </c>
      <c r="H41" s="39"/>
      <c r="I41" s="99"/>
      <c r="J41" s="100"/>
      <c r="K41" s="101"/>
      <c r="L41" s="136"/>
    </row>
    <row r="42" spans="1:12" s="18" customFormat="1" ht="19.5" customHeight="1" x14ac:dyDescent="0.25">
      <c r="A42" s="39"/>
      <c r="B42" s="39"/>
      <c r="C42" s="40" t="s">
        <v>137</v>
      </c>
      <c r="D42" s="99">
        <f>-'Import budget N N-1'!C42</f>
        <v>0</v>
      </c>
      <c r="E42" s="100">
        <f t="shared" si="0"/>
        <v>0</v>
      </c>
      <c r="F42" s="101">
        <f>-'Import budget N N-1'!D42</f>
        <v>100</v>
      </c>
      <c r="G42" s="136">
        <f>-'Import budget N N-1'!E42</f>
        <v>0</v>
      </c>
      <c r="H42" s="39"/>
      <c r="I42" s="99"/>
      <c r="J42" s="100"/>
      <c r="K42" s="101"/>
      <c r="L42" s="136"/>
    </row>
    <row r="43" spans="1:12" s="9" customFormat="1" ht="19.5" customHeight="1" x14ac:dyDescent="0.25">
      <c r="A43" s="39"/>
      <c r="B43" s="39"/>
      <c r="C43" s="39" t="s">
        <v>44</v>
      </c>
      <c r="D43" s="99">
        <f>-'Import budget N N-1'!C43</f>
        <v>1766.53</v>
      </c>
      <c r="E43" s="100">
        <f t="shared" si="0"/>
        <v>1.7665299999999999</v>
      </c>
      <c r="F43" s="101">
        <f>-'Import budget N N-1'!D43</f>
        <v>1000</v>
      </c>
      <c r="G43" s="136">
        <f>-'Import budget N N-1'!E43</f>
        <v>0</v>
      </c>
      <c r="H43" s="39"/>
      <c r="I43" s="99"/>
      <c r="J43" s="100"/>
      <c r="K43" s="101"/>
      <c r="L43" s="136"/>
    </row>
    <row r="44" spans="1:12" s="1" customFormat="1" ht="19.5" customHeight="1" x14ac:dyDescent="0.25">
      <c r="A44" s="39"/>
      <c r="B44" s="39"/>
      <c r="C44" s="39" t="s">
        <v>46</v>
      </c>
      <c r="D44" s="99">
        <f>-'Import budget N N-1'!C45</f>
        <v>1173.6400000000001</v>
      </c>
      <c r="E44" s="100">
        <f t="shared" si="0"/>
        <v>11.736400000000001</v>
      </c>
      <c r="F44" s="101">
        <f>-'Import budget N N-1'!D45</f>
        <v>100</v>
      </c>
      <c r="G44" s="136">
        <f>-'Import budget N N-1'!E45</f>
        <v>57.2</v>
      </c>
      <c r="H44" s="39"/>
      <c r="I44" s="99"/>
      <c r="J44" s="100"/>
      <c r="K44" s="101"/>
      <c r="L44" s="136"/>
    </row>
    <row r="45" spans="1:12" s="11" customFormat="1" ht="19.5" customHeight="1" x14ac:dyDescent="0.25">
      <c r="A45" s="39"/>
      <c r="B45" s="39"/>
      <c r="C45" s="39" t="s">
        <v>64</v>
      </c>
      <c r="D45" s="99">
        <f>-'Import budget N N-1'!C63</f>
        <v>6336.52</v>
      </c>
      <c r="E45" s="100">
        <f t="shared" si="0"/>
        <v>0.92503941605839424</v>
      </c>
      <c r="F45" s="101">
        <f>-'Import budget N N-1'!D63</f>
        <v>6850</v>
      </c>
      <c r="G45" s="136">
        <f>-'Import budget N N-1'!E63</f>
        <v>4687.75</v>
      </c>
      <c r="H45" s="39"/>
      <c r="I45" s="99"/>
      <c r="J45" s="100"/>
      <c r="K45" s="101"/>
      <c r="L45" s="136"/>
    </row>
    <row r="46" spans="1:12" s="150" customFormat="1" ht="19.5" customHeight="1" x14ac:dyDescent="0.25">
      <c r="A46" s="39"/>
      <c r="B46" s="39"/>
      <c r="C46" s="39" t="s">
        <v>237</v>
      </c>
      <c r="D46" s="99">
        <f>-'Import budget N N-1'!C95</f>
        <v>500</v>
      </c>
      <c r="E46" s="100">
        <f t="shared" ref="E46" si="7">IF(F46=0,0,D46/F46)</f>
        <v>0</v>
      </c>
      <c r="F46" s="101">
        <f>-'Import budget N N-1'!D95</f>
        <v>0</v>
      </c>
      <c r="G46" s="136">
        <f>-'Import budget N N-1'!E95</f>
        <v>0</v>
      </c>
      <c r="H46" s="39"/>
      <c r="I46" s="99"/>
      <c r="J46" s="100"/>
      <c r="K46" s="39"/>
      <c r="L46" s="136"/>
    </row>
    <row r="47" spans="1:12" ht="19.5" customHeight="1" x14ac:dyDescent="0.25">
      <c r="A47" s="24" t="s">
        <v>4</v>
      </c>
      <c r="B47" s="25"/>
      <c r="C47" s="25"/>
      <c r="D47" s="83">
        <f>D48</f>
        <v>240</v>
      </c>
      <c r="E47" s="65">
        <f t="shared" si="0"/>
        <v>0</v>
      </c>
      <c r="F47" s="56">
        <v>0</v>
      </c>
      <c r="G47" s="127">
        <v>0</v>
      </c>
      <c r="H47" s="25"/>
      <c r="I47" s="83">
        <v>0</v>
      </c>
      <c r="J47" s="65">
        <f t="shared" si="1"/>
        <v>0</v>
      </c>
      <c r="K47" s="56">
        <v>0</v>
      </c>
      <c r="L47" s="127">
        <v>0</v>
      </c>
    </row>
    <row r="48" spans="1:12" s="150" customFormat="1" ht="19.5" customHeight="1" x14ac:dyDescent="0.25">
      <c r="A48" s="24"/>
      <c r="B48" s="25"/>
      <c r="C48" s="203" t="s">
        <v>229</v>
      </c>
      <c r="D48" s="83">
        <f>-'Import budget N N-1'!C91</f>
        <v>240</v>
      </c>
      <c r="E48" s="65">
        <f t="shared" ref="E48" si="8">IF(F48=0,0,D48/F48)</f>
        <v>0</v>
      </c>
      <c r="F48" s="56">
        <f>-'Import budget N N-1'!D91</f>
        <v>0</v>
      </c>
      <c r="G48" s="127">
        <f>-'Import budget N N-1'!E91</f>
        <v>0</v>
      </c>
      <c r="H48" s="25"/>
      <c r="I48" s="83"/>
      <c r="J48" s="65"/>
      <c r="K48" s="56"/>
      <c r="L48" s="127"/>
    </row>
    <row r="49" spans="1:12" s="18" customFormat="1" ht="15.75" x14ac:dyDescent="0.25">
      <c r="A49" s="45" t="s">
        <v>193</v>
      </c>
      <c r="B49" s="44"/>
      <c r="C49" s="44"/>
      <c r="D49" s="102">
        <f>D47+D33+D29+D23+D19+D11+D4</f>
        <v>49341.179999999993</v>
      </c>
      <c r="E49" s="69">
        <f t="shared" si="0"/>
        <v>1.1239448747152618</v>
      </c>
      <c r="F49" s="61">
        <f>F47+F33+F29+F23+F19+F11+F4</f>
        <v>43900</v>
      </c>
      <c r="G49" s="137">
        <f>G47+G33+G29+G23+G19+G11+G4</f>
        <v>41904.990000000005</v>
      </c>
      <c r="H49" s="44"/>
      <c r="I49" s="102">
        <f>I47+I33+I29+I23+I19+I11+I4</f>
        <v>72763.02</v>
      </c>
      <c r="J49" s="69">
        <f t="shared" si="1"/>
        <v>1.2676484320557493</v>
      </c>
      <c r="K49" s="61">
        <f>K47+K33+K29+K23+K19+K11+K4</f>
        <v>57400</v>
      </c>
      <c r="L49" s="137">
        <f>L47+L33+L29+L23+L19+L11+L4</f>
        <v>60736.05</v>
      </c>
    </row>
    <row r="50" spans="1:12" s="18" customFormat="1" ht="15.75" x14ac:dyDescent="0.25">
      <c r="A50" s="19" t="s">
        <v>189</v>
      </c>
      <c r="B50" s="20"/>
      <c r="C50" s="20"/>
      <c r="D50" s="103"/>
      <c r="E50" s="70"/>
      <c r="F50" s="20"/>
      <c r="G50" s="138"/>
      <c r="H50" s="20"/>
      <c r="I50" s="108">
        <f>I52+I53+I62+I54</f>
        <v>27702.18</v>
      </c>
      <c r="J50" s="73">
        <f t="shared" si="1"/>
        <v>0.93905694915254234</v>
      </c>
      <c r="K50" s="62">
        <f>K52+K53+K62+K54</f>
        <v>29500</v>
      </c>
      <c r="L50" s="142">
        <f>L52+L53+L62+L54</f>
        <v>29525.39</v>
      </c>
    </row>
    <row r="51" spans="1:12" s="18" customFormat="1" ht="15.75" x14ac:dyDescent="0.25">
      <c r="A51" s="41" t="s">
        <v>195</v>
      </c>
      <c r="B51" s="28"/>
      <c r="C51" s="28"/>
      <c r="D51" s="91">
        <f>SUM(D52:D60)</f>
        <v>29556.170000000002</v>
      </c>
      <c r="E51" s="67">
        <f t="shared" si="0"/>
        <v>0.90942061538461549</v>
      </c>
      <c r="F51" s="58">
        <f>SUM(F52:F60)</f>
        <v>32500</v>
      </c>
      <c r="G51" s="131">
        <f>SUM(G52:G60)</f>
        <v>29272.52</v>
      </c>
      <c r="H51" s="47"/>
      <c r="I51" s="119"/>
      <c r="J51" s="74"/>
      <c r="K51" s="46"/>
      <c r="L51" s="147"/>
    </row>
    <row r="52" spans="1:12" s="17" customFormat="1" ht="15.75" customHeight="1" x14ac:dyDescent="0.25">
      <c r="C52" s="29" t="s">
        <v>83</v>
      </c>
      <c r="D52" s="92">
        <f>-'Import budget N N-1'!C83</f>
        <v>21379.39</v>
      </c>
      <c r="E52" s="93">
        <f t="shared" si="0"/>
        <v>0.8655623481781376</v>
      </c>
      <c r="F52" s="94">
        <f>-'Import budget N N-1'!D83</f>
        <v>24700</v>
      </c>
      <c r="G52" s="132">
        <f>-'Import budget N N-1'!E83</f>
        <v>22889.119999999999</v>
      </c>
      <c r="H52" s="47" t="s">
        <v>22</v>
      </c>
      <c r="I52" s="109">
        <f>'Import budget N N-1'!C17</f>
        <v>12500</v>
      </c>
      <c r="J52" s="75">
        <f t="shared" si="1"/>
        <v>1</v>
      </c>
      <c r="K52" s="47">
        <f>'Import budget N N-1'!D17</f>
        <v>12500</v>
      </c>
      <c r="L52" s="143">
        <f>'Import budget N N-1'!E17</f>
        <v>12500</v>
      </c>
    </row>
    <row r="53" spans="1:12" s="17" customFormat="1" ht="15.75" customHeight="1" x14ac:dyDescent="0.25">
      <c r="C53" s="29" t="s">
        <v>84</v>
      </c>
      <c r="D53" s="92">
        <f>-'Import budget N N-1'!C84</f>
        <v>2400</v>
      </c>
      <c r="E53" s="93">
        <f t="shared" si="0"/>
        <v>1</v>
      </c>
      <c r="F53" s="94">
        <f>-'Import budget N N-1'!D84</f>
        <v>2400</v>
      </c>
      <c r="G53" s="132">
        <f>-'Import budget N N-1'!E84</f>
        <v>600</v>
      </c>
      <c r="H53" s="47" t="s">
        <v>245</v>
      </c>
      <c r="I53" s="109">
        <f>'Import budget N N-1'!C18</f>
        <v>3800</v>
      </c>
      <c r="J53" s="75">
        <f t="shared" si="1"/>
        <v>0.95</v>
      </c>
      <c r="K53" s="47">
        <f>'Import budget N N-1'!D18</f>
        <v>4000</v>
      </c>
      <c r="L53" s="143">
        <f>'Import budget N N-1'!E18</f>
        <v>4800</v>
      </c>
    </row>
    <row r="54" spans="1:12" s="17" customFormat="1" ht="15.75" customHeight="1" x14ac:dyDescent="0.25">
      <c r="C54" s="29" t="s">
        <v>85</v>
      </c>
      <c r="D54" s="92">
        <f>-'Import budget N N-1'!C85</f>
        <v>2293.92</v>
      </c>
      <c r="E54" s="93">
        <f t="shared" si="0"/>
        <v>1.6992</v>
      </c>
      <c r="F54" s="94">
        <f>-'Import budget N N-1'!D85</f>
        <v>1350</v>
      </c>
      <c r="G54" s="132">
        <f>-'Import budget N N-1'!E85</f>
        <v>1325.97</v>
      </c>
      <c r="H54" s="47" t="s">
        <v>24</v>
      </c>
      <c r="I54" s="109">
        <f>'Import budget N N-1'!C20</f>
        <v>500</v>
      </c>
      <c r="J54" s="75">
        <f t="shared" si="1"/>
        <v>0.33333333333333331</v>
      </c>
      <c r="K54" s="47">
        <f>'Import budget N N-1'!D20</f>
        <v>1500</v>
      </c>
      <c r="L54" s="143">
        <f>'Import budget N N-1'!E20</f>
        <v>1500</v>
      </c>
    </row>
    <row r="55" spans="1:12" s="17" customFormat="1" ht="15.75" customHeight="1" x14ac:dyDescent="0.25">
      <c r="C55" s="29" t="s">
        <v>86</v>
      </c>
      <c r="D55" s="92">
        <f>-'Import budget N N-1'!C86</f>
        <v>300.29000000000002</v>
      </c>
      <c r="E55" s="93">
        <f t="shared" si="0"/>
        <v>0.92396923076923088</v>
      </c>
      <c r="F55" s="94">
        <f>-'Import budget N N-1'!D86</f>
        <v>325</v>
      </c>
      <c r="G55" s="132">
        <f>-'Import budget N N-1'!E86</f>
        <v>228.01</v>
      </c>
      <c r="H55" s="47"/>
      <c r="I55" s="109"/>
      <c r="J55" s="75"/>
      <c r="K55" s="47"/>
      <c r="L55" s="143"/>
    </row>
    <row r="56" spans="1:12" s="13" customFormat="1" ht="15.75" customHeight="1" x14ac:dyDescent="0.25">
      <c r="C56" s="29" t="s">
        <v>87</v>
      </c>
      <c r="D56" s="92">
        <f>-'Import budget N N-1'!C87</f>
        <v>490.44</v>
      </c>
      <c r="E56" s="93">
        <f t="shared" si="0"/>
        <v>2.1797333333333335</v>
      </c>
      <c r="F56" s="94">
        <f>-'Import budget N N-1'!D87</f>
        <v>225</v>
      </c>
      <c r="G56" s="132">
        <f>-'Import budget N N-1'!E87</f>
        <v>258.93</v>
      </c>
      <c r="H56" s="47"/>
      <c r="I56" s="109"/>
      <c r="J56" s="75"/>
      <c r="K56" s="47"/>
      <c r="L56" s="143"/>
    </row>
    <row r="57" spans="1:12" s="12" customFormat="1" ht="15.75" customHeight="1" x14ac:dyDescent="0.25">
      <c r="C57" s="29" t="s">
        <v>69</v>
      </c>
      <c r="D57" s="92">
        <f>-'Import budget N N-1'!C68</f>
        <v>1010.9</v>
      </c>
      <c r="E57" s="93">
        <f t="shared" si="0"/>
        <v>1.263625</v>
      </c>
      <c r="F57" s="94">
        <f>-'Import budget N N-1'!D68</f>
        <v>800</v>
      </c>
      <c r="G57" s="132">
        <f>-'Import budget N N-1'!E68</f>
        <v>829.24</v>
      </c>
      <c r="H57" s="47"/>
      <c r="I57" s="109"/>
      <c r="J57" s="75"/>
      <c r="K57" s="47"/>
      <c r="L57" s="143"/>
    </row>
    <row r="58" spans="1:12" ht="15.75" customHeight="1" x14ac:dyDescent="0.25">
      <c r="C58" s="29" t="s">
        <v>68</v>
      </c>
      <c r="D58" s="92">
        <f>-'Import budget N N-1'!C67</f>
        <v>793.5</v>
      </c>
      <c r="E58" s="93">
        <f t="shared" si="0"/>
        <v>0.37785714285714284</v>
      </c>
      <c r="F58" s="94">
        <f>-'Import budget N N-1'!D67</f>
        <v>2100</v>
      </c>
      <c r="G58" s="132">
        <f>-'Import budget N N-1'!E67</f>
        <v>2540.5</v>
      </c>
      <c r="H58" s="47"/>
      <c r="I58" s="109"/>
      <c r="J58" s="75"/>
      <c r="K58" s="47"/>
      <c r="L58" s="143"/>
    </row>
    <row r="59" spans="1:12" s="150" customFormat="1" ht="15.75" customHeight="1" x14ac:dyDescent="0.25">
      <c r="C59" s="29" t="s">
        <v>223</v>
      </c>
      <c r="D59" s="92">
        <f>-'Import budget N N-1'!C90</f>
        <v>470.4</v>
      </c>
      <c r="E59" s="93">
        <f t="shared" ref="E59" si="9">IF(F59=0,0,D59/F59)</f>
        <v>0</v>
      </c>
      <c r="F59" s="94">
        <f>-'Import budget N N-1'!D90</f>
        <v>0</v>
      </c>
      <c r="G59" s="132">
        <f>-'Import budget N N-1'!E90</f>
        <v>0</v>
      </c>
      <c r="H59" s="47"/>
      <c r="I59" s="109"/>
      <c r="J59" s="75"/>
      <c r="K59" s="47"/>
      <c r="L59" s="143"/>
    </row>
    <row r="60" spans="1:12" s="12" customFormat="1" ht="15.75" customHeight="1" x14ac:dyDescent="0.25">
      <c r="C60" s="29" t="s">
        <v>81</v>
      </c>
      <c r="D60" s="92">
        <f>-'Import budget N N-1'!C80</f>
        <v>417.33</v>
      </c>
      <c r="E60" s="93">
        <f t="shared" si="0"/>
        <v>0.69555</v>
      </c>
      <c r="F60" s="94">
        <f>-'Import budget N N-1'!D80</f>
        <v>600</v>
      </c>
      <c r="G60" s="132">
        <f>-'Import budget N N-1'!E80</f>
        <v>600.75</v>
      </c>
      <c r="H60" s="47"/>
      <c r="I60" s="109"/>
      <c r="J60" s="75"/>
      <c r="K60" s="47"/>
      <c r="L60" s="143"/>
    </row>
    <row r="61" spans="1:12" ht="15.75" x14ac:dyDescent="0.25">
      <c r="A61" s="49" t="s">
        <v>194</v>
      </c>
      <c r="B61" s="50"/>
      <c r="C61" s="50"/>
      <c r="D61" s="104">
        <f>SUM(D62:D68)</f>
        <v>18556.870000000003</v>
      </c>
      <c r="E61" s="71">
        <f t="shared" si="0"/>
        <v>0.96399324675324694</v>
      </c>
      <c r="F61" s="63">
        <f>SUM(F62:F68)</f>
        <v>19250</v>
      </c>
      <c r="G61" s="139">
        <f>SUM(G62:G68)</f>
        <v>18421.18</v>
      </c>
      <c r="H61" s="47"/>
      <c r="I61" s="109"/>
      <c r="J61" s="75"/>
      <c r="K61" s="47"/>
      <c r="L61" s="143"/>
    </row>
    <row r="62" spans="1:12" x14ac:dyDescent="0.25">
      <c r="C62" s="48" t="s">
        <v>60</v>
      </c>
      <c r="D62" s="105">
        <f>-'Import budget N N-1'!C59</f>
        <v>10331.18</v>
      </c>
      <c r="E62" s="106">
        <f t="shared" si="0"/>
        <v>0.98392190476190478</v>
      </c>
      <c r="F62" s="107">
        <f>-'Import budget N N-1'!D59</f>
        <v>10500</v>
      </c>
      <c r="G62" s="140">
        <f>-'Import budget N N-1'!E59</f>
        <v>10104.39</v>
      </c>
      <c r="H62" s="47" t="s">
        <v>23</v>
      </c>
      <c r="I62" s="109">
        <f>'Import budget N N-1'!C19</f>
        <v>10902.18</v>
      </c>
      <c r="J62" s="75">
        <f t="shared" si="1"/>
        <v>0.94801565217391304</v>
      </c>
      <c r="K62" s="47">
        <f>'Import budget N N-1'!D19</f>
        <v>11500</v>
      </c>
      <c r="L62" s="143">
        <f>'Import budget N N-1'!E19</f>
        <v>10725.39</v>
      </c>
    </row>
    <row r="63" spans="1:12" s="7" customFormat="1" x14ac:dyDescent="0.25">
      <c r="C63" s="48" t="s">
        <v>31</v>
      </c>
      <c r="D63" s="105">
        <f>-'Import budget N N-1'!C28</f>
        <v>1079</v>
      </c>
      <c r="E63" s="106">
        <f t="shared" si="0"/>
        <v>1.079</v>
      </c>
      <c r="F63" s="107">
        <f>-'Import budget N N-1'!D28</f>
        <v>1000</v>
      </c>
      <c r="G63" s="140">
        <f>-'Import budget N N-1'!E28</f>
        <v>1031.5</v>
      </c>
      <c r="H63" s="47"/>
      <c r="I63" s="109"/>
      <c r="J63" s="75"/>
      <c r="K63" s="47"/>
      <c r="L63" s="143"/>
    </row>
    <row r="64" spans="1:12" x14ac:dyDescent="0.25">
      <c r="C64" s="48" t="s">
        <v>65</v>
      </c>
      <c r="D64" s="105">
        <f>-'Import budget N N-1'!C64</f>
        <v>1047.04</v>
      </c>
      <c r="E64" s="106">
        <f t="shared" si="0"/>
        <v>1.04704</v>
      </c>
      <c r="F64" s="107">
        <f>-'Import budget N N-1'!D64</f>
        <v>1000</v>
      </c>
      <c r="G64" s="140">
        <f>-'Import budget N N-1'!E64</f>
        <v>954.26</v>
      </c>
      <c r="H64" s="47"/>
      <c r="I64" s="109"/>
      <c r="J64" s="75"/>
      <c r="K64" s="47"/>
      <c r="L64" s="143"/>
    </row>
    <row r="65" spans="1:12" s="18" customFormat="1" x14ac:dyDescent="0.25">
      <c r="C65" s="48" t="s">
        <v>47</v>
      </c>
      <c r="D65" s="105">
        <f>-'Import budget N N-1'!C46</f>
        <v>10.24</v>
      </c>
      <c r="E65" s="106">
        <f t="shared" si="0"/>
        <v>4.0960000000000003E-2</v>
      </c>
      <c r="F65" s="107">
        <f>-'Import budget N N-1'!D46</f>
        <v>250</v>
      </c>
      <c r="G65" s="140">
        <f>-'Import budget N N-1'!E46</f>
        <v>174.78</v>
      </c>
      <c r="H65" s="47"/>
      <c r="I65" s="109"/>
      <c r="J65" s="75"/>
      <c r="K65" s="47"/>
      <c r="L65" s="143"/>
    </row>
    <row r="66" spans="1:12" s="6" customFormat="1" x14ac:dyDescent="0.25">
      <c r="C66" s="48" t="s">
        <v>61</v>
      </c>
      <c r="D66" s="105">
        <f>-'Import budget N N-1'!C60</f>
        <v>3032.06</v>
      </c>
      <c r="E66" s="106">
        <f t="shared" si="0"/>
        <v>1.0106866666666667</v>
      </c>
      <c r="F66" s="107">
        <f>-'Import budget N N-1'!D60</f>
        <v>3000</v>
      </c>
      <c r="G66" s="140">
        <f>-'Import budget N N-1'!E60</f>
        <v>2894.92</v>
      </c>
      <c r="H66" s="47"/>
      <c r="I66" s="109"/>
      <c r="J66" s="75"/>
      <c r="K66" s="47"/>
      <c r="L66" s="143"/>
    </row>
    <row r="67" spans="1:12" s="18" customFormat="1" x14ac:dyDescent="0.25">
      <c r="C67" s="48" t="s">
        <v>63</v>
      </c>
      <c r="D67" s="105">
        <f>-'Import budget N N-1'!C62</f>
        <v>1928.97</v>
      </c>
      <c r="E67" s="106">
        <f t="shared" si="0"/>
        <v>0.96448500000000004</v>
      </c>
      <c r="F67" s="107">
        <f>-'Import budget N N-1'!D62</f>
        <v>2000</v>
      </c>
      <c r="G67" s="140">
        <f>-'Import budget N N-1'!E62</f>
        <v>1871.16</v>
      </c>
      <c r="H67" s="47"/>
      <c r="I67" s="109"/>
      <c r="J67" s="75"/>
      <c r="K67" s="47"/>
      <c r="L67" s="143"/>
    </row>
    <row r="68" spans="1:12" s="18" customFormat="1" x14ac:dyDescent="0.25">
      <c r="C68" s="48" t="s">
        <v>79</v>
      </c>
      <c r="D68" s="105">
        <f>-'Import budget N N-1'!C78</f>
        <v>1128.3800000000001</v>
      </c>
      <c r="E68" s="106">
        <f t="shared" si="0"/>
        <v>0.75225333333333344</v>
      </c>
      <c r="F68" s="107">
        <f>-'Import budget N N-1'!D78</f>
        <v>1500</v>
      </c>
      <c r="G68" s="140">
        <f>-'Import budget N N-1'!E78</f>
        <v>1390.17</v>
      </c>
      <c r="H68" s="47"/>
      <c r="I68" s="109"/>
      <c r="J68" s="75"/>
      <c r="K68" s="47"/>
      <c r="L68" s="143"/>
    </row>
    <row r="69" spans="1:12" ht="15.75" x14ac:dyDescent="0.25">
      <c r="A69" s="51" t="s">
        <v>190</v>
      </c>
      <c r="B69" s="35"/>
      <c r="C69" s="35"/>
      <c r="D69" s="35"/>
      <c r="E69" s="72"/>
      <c r="F69" s="35"/>
      <c r="G69" s="141"/>
      <c r="H69" s="35"/>
      <c r="I69" s="95">
        <f>SUM(I72:I85)</f>
        <v>18937.3</v>
      </c>
      <c r="J69" s="64">
        <f t="shared" si="1"/>
        <v>0.89750236966824637</v>
      </c>
      <c r="K69" s="59">
        <f>SUM(K72:K85)</f>
        <v>21100</v>
      </c>
      <c r="L69" s="133">
        <f>SUM(L72:L85)</f>
        <v>22921.88</v>
      </c>
    </row>
    <row r="70" spans="1:12" s="150" customFormat="1" ht="15.75" x14ac:dyDescent="0.25">
      <c r="A70" s="35"/>
      <c r="B70" s="35"/>
      <c r="C70" s="35"/>
      <c r="D70" s="35"/>
      <c r="E70" s="72"/>
      <c r="F70" s="35"/>
      <c r="G70" s="194"/>
      <c r="H70" s="53"/>
      <c r="I70" s="195"/>
      <c r="J70" s="196"/>
      <c r="K70" s="198"/>
      <c r="L70" s="134"/>
    </row>
    <row r="71" spans="1:12" s="18" customFormat="1" ht="15.75" x14ac:dyDescent="0.25">
      <c r="A71" s="19" t="s">
        <v>196</v>
      </c>
      <c r="B71" s="20"/>
      <c r="C71" s="20"/>
      <c r="D71" s="108">
        <f>SUM(D72:D86)</f>
        <v>8314.33</v>
      </c>
      <c r="E71" s="73">
        <f t="shared" si="0"/>
        <v>0.86158860103626944</v>
      </c>
      <c r="F71" s="62">
        <f>SUM(F72:F86)</f>
        <v>9650</v>
      </c>
      <c r="G71" s="142">
        <f>SUM(G72:G86)</f>
        <v>9898.9600000000009</v>
      </c>
      <c r="H71" s="53"/>
      <c r="I71" s="120"/>
      <c r="J71" s="76"/>
      <c r="K71" s="52"/>
      <c r="L71" s="148"/>
    </row>
    <row r="72" spans="1:12" x14ac:dyDescent="0.25">
      <c r="C72" s="54" t="s">
        <v>48</v>
      </c>
      <c r="D72" s="109">
        <f>-'Import budget N N-1'!C47</f>
        <v>438.69</v>
      </c>
      <c r="E72" s="75">
        <f t="shared" si="0"/>
        <v>0.67490769230769232</v>
      </c>
      <c r="F72" s="47">
        <f>-'Import budget N N-1'!D47</f>
        <v>650</v>
      </c>
      <c r="G72" s="143">
        <f>-'Import budget N N-1'!E47</f>
        <v>698.26</v>
      </c>
      <c r="H72" s="36" t="s">
        <v>27</v>
      </c>
      <c r="I72" s="96">
        <f>'Import budget N N-1'!C23</f>
        <v>25193.3</v>
      </c>
      <c r="J72" s="97">
        <f t="shared" si="1"/>
        <v>1.319020942408377</v>
      </c>
      <c r="K72" s="53">
        <f>'Import budget N N-1'!D23</f>
        <v>19100</v>
      </c>
      <c r="L72" s="134">
        <f>'Import budget N N-1'!E23</f>
        <v>19111.5</v>
      </c>
    </row>
    <row r="73" spans="1:12" x14ac:dyDescent="0.25">
      <c r="C73" s="54"/>
      <c r="D73" s="109"/>
      <c r="E73" s="75"/>
      <c r="F73" s="47"/>
      <c r="G73" s="143"/>
      <c r="H73" s="36" t="s">
        <v>21</v>
      </c>
      <c r="I73" s="96">
        <f>'Import budget N N-1'!C16</f>
        <v>-6256</v>
      </c>
      <c r="J73" s="97">
        <f>IF(K73=0,0,I73/K73)</f>
        <v>0</v>
      </c>
      <c r="K73" s="53">
        <f>'Import budget N N-1'!D16</f>
        <v>0</v>
      </c>
      <c r="L73" s="134">
        <f>'Import budget N N-1'!E16</f>
        <v>0</v>
      </c>
    </row>
    <row r="74" spans="1:12" x14ac:dyDescent="0.25">
      <c r="C74" s="54" t="s">
        <v>55</v>
      </c>
      <c r="D74" s="109">
        <f>-'Import budget N N-1'!C54</f>
        <v>473.4</v>
      </c>
      <c r="E74" s="75">
        <f t="shared" si="0"/>
        <v>1.0291304347826087</v>
      </c>
      <c r="F74" s="47">
        <f>-'Import budget N N-1'!D54</f>
        <v>460</v>
      </c>
      <c r="G74" s="143">
        <f>-'Import budget N N-1'!E54</f>
        <v>443.4</v>
      </c>
      <c r="H74" s="36"/>
      <c r="I74" s="96"/>
      <c r="J74" s="97"/>
      <c r="K74" s="53"/>
      <c r="L74" s="134"/>
    </row>
    <row r="75" spans="1:12" x14ac:dyDescent="0.25">
      <c r="C75" s="54" t="s">
        <v>56</v>
      </c>
      <c r="D75" s="109">
        <f>-'Import budget N N-1'!C55</f>
        <v>1711</v>
      </c>
      <c r="E75" s="75">
        <f t="shared" si="0"/>
        <v>1.4878260869565216</v>
      </c>
      <c r="F75" s="47">
        <f>-'Import budget N N-1'!D55</f>
        <v>1150</v>
      </c>
      <c r="G75" s="143">
        <f>-'Import budget N N-1'!E55</f>
        <v>1373.7</v>
      </c>
      <c r="H75" s="36"/>
      <c r="I75" s="96"/>
      <c r="J75" s="97"/>
      <c r="K75" s="53"/>
      <c r="L75" s="134"/>
    </row>
    <row r="76" spans="1:12" x14ac:dyDescent="0.25">
      <c r="C76" s="54" t="s">
        <v>70</v>
      </c>
      <c r="D76" s="109">
        <f>-'Import budget N N-1'!C69</f>
        <v>2398.06</v>
      </c>
      <c r="E76" s="75">
        <f t="shared" si="0"/>
        <v>1.0900272727272726</v>
      </c>
      <c r="F76" s="47">
        <f>-'Import budget N N-1'!D69</f>
        <v>2200</v>
      </c>
      <c r="G76" s="143">
        <f>-'Import budget N N-1'!E69</f>
        <v>2420.4</v>
      </c>
      <c r="H76" s="36"/>
      <c r="I76" s="96"/>
      <c r="J76" s="97"/>
      <c r="K76" s="53"/>
      <c r="L76" s="134"/>
    </row>
    <row r="77" spans="1:12" x14ac:dyDescent="0.25">
      <c r="C77" s="54" t="s">
        <v>67</v>
      </c>
      <c r="D77" s="109">
        <f>-'Import budget N N-1'!C66</f>
        <v>810</v>
      </c>
      <c r="E77" s="75">
        <f t="shared" si="0"/>
        <v>1.0125</v>
      </c>
      <c r="F77" s="47">
        <f>-'Import budget N N-1'!D66</f>
        <v>800</v>
      </c>
      <c r="G77" s="143">
        <f>-'Import budget N N-1'!E66</f>
        <v>750</v>
      </c>
      <c r="H77" s="36"/>
      <c r="I77" s="96"/>
      <c r="J77" s="97"/>
      <c r="K77" s="53"/>
      <c r="L77" s="134"/>
    </row>
    <row r="78" spans="1:12" s="12" customFormat="1" x14ac:dyDescent="0.25">
      <c r="C78" s="54" t="s">
        <v>72</v>
      </c>
      <c r="D78" s="109">
        <f>-'Import budget N N-1'!C71</f>
        <v>150</v>
      </c>
      <c r="E78" s="75">
        <f t="shared" si="0"/>
        <v>0.42857142857142855</v>
      </c>
      <c r="F78" s="47">
        <f>-'Import budget N N-1'!D71</f>
        <v>350</v>
      </c>
      <c r="G78" s="143">
        <f>-'Import budget N N-1'!E71</f>
        <v>608.99</v>
      </c>
      <c r="H78" s="36"/>
      <c r="I78" s="96"/>
      <c r="J78" s="97"/>
      <c r="K78" s="53"/>
      <c r="L78" s="134"/>
    </row>
    <row r="79" spans="1:12" s="15" customFormat="1" x14ac:dyDescent="0.25">
      <c r="C79" s="54" t="s">
        <v>74</v>
      </c>
      <c r="D79" s="109">
        <f>-'Import budget N N-1'!C73</f>
        <v>0</v>
      </c>
      <c r="E79" s="75">
        <f t="shared" si="0"/>
        <v>0</v>
      </c>
      <c r="F79" s="47">
        <f>-'Import budget N N-1'!D73</f>
        <v>500</v>
      </c>
      <c r="G79" s="143">
        <f>-'Import budget N N-1'!E73</f>
        <v>97.6</v>
      </c>
      <c r="H79" s="36"/>
      <c r="I79" s="96"/>
      <c r="J79" s="97"/>
      <c r="K79" s="53"/>
      <c r="L79" s="134"/>
    </row>
    <row r="80" spans="1:12" s="15" customFormat="1" x14ac:dyDescent="0.25">
      <c r="C80" s="54" t="s">
        <v>75</v>
      </c>
      <c r="D80" s="109">
        <f>-'Import budget N N-1'!C74</f>
        <v>1230</v>
      </c>
      <c r="E80" s="75">
        <f t="shared" ref="E80:E98" si="10">IF(F80=0,0,D80/F80)</f>
        <v>0.61499999999999999</v>
      </c>
      <c r="F80" s="47">
        <f>-'Import budget N N-1'!D74</f>
        <v>2000</v>
      </c>
      <c r="G80" s="143">
        <f>-'Import budget N N-1'!E74</f>
        <v>2040</v>
      </c>
      <c r="H80" s="36"/>
      <c r="I80" s="96"/>
      <c r="J80" s="97"/>
      <c r="K80" s="53"/>
      <c r="L80" s="134"/>
    </row>
    <row r="81" spans="1:12" s="16" customFormat="1" x14ac:dyDescent="0.25">
      <c r="C81" s="54" t="s">
        <v>76</v>
      </c>
      <c r="D81" s="109">
        <f>-'Import budget N N-1'!C75</f>
        <v>0</v>
      </c>
      <c r="E81" s="75">
        <f t="shared" si="10"/>
        <v>0</v>
      </c>
      <c r="F81" s="47">
        <f>-'Import budget N N-1'!D75</f>
        <v>150</v>
      </c>
      <c r="G81" s="143">
        <f>-'Import budget N N-1'!E75</f>
        <v>123</v>
      </c>
      <c r="H81" s="36"/>
      <c r="I81" s="96"/>
      <c r="J81" s="97"/>
      <c r="K81" s="53"/>
      <c r="L81" s="134"/>
    </row>
    <row r="82" spans="1:12" s="16" customFormat="1" x14ac:dyDescent="0.25">
      <c r="C82" s="54" t="s">
        <v>77</v>
      </c>
      <c r="D82" s="109">
        <f>-'Import budget N N-1'!C76</f>
        <v>466.6</v>
      </c>
      <c r="E82" s="75">
        <f t="shared" si="10"/>
        <v>0.93320000000000003</v>
      </c>
      <c r="F82" s="47">
        <f>-'Import budget N N-1'!D76</f>
        <v>500</v>
      </c>
      <c r="G82" s="143">
        <f>-'Import budget N N-1'!E76</f>
        <v>476.04</v>
      </c>
      <c r="H82" s="36"/>
      <c r="I82" s="96"/>
      <c r="J82" s="97"/>
      <c r="K82" s="53"/>
      <c r="L82" s="134"/>
    </row>
    <row r="83" spans="1:12" s="16" customFormat="1" x14ac:dyDescent="0.25">
      <c r="C83" s="54" t="s">
        <v>78</v>
      </c>
      <c r="D83" s="109">
        <f>-'Import budget N N-1'!C77</f>
        <v>134.51</v>
      </c>
      <c r="E83" s="75">
        <f t="shared" si="10"/>
        <v>0.44836666666666664</v>
      </c>
      <c r="F83" s="47">
        <f>-'Import budget N N-1'!D77</f>
        <v>300</v>
      </c>
      <c r="G83" s="143">
        <f>-'Import budget N N-1'!E77</f>
        <v>287.05</v>
      </c>
      <c r="H83" s="36"/>
      <c r="I83" s="96"/>
      <c r="J83" s="97"/>
      <c r="K83" s="53"/>
      <c r="L83" s="134"/>
    </row>
    <row r="84" spans="1:12" s="16" customFormat="1" x14ac:dyDescent="0.25">
      <c r="C84" s="54" t="s">
        <v>80</v>
      </c>
      <c r="D84" s="109">
        <f>-'Import budget N N-1'!C79</f>
        <v>502.07</v>
      </c>
      <c r="E84" s="75">
        <f t="shared" si="10"/>
        <v>0.91285454545454547</v>
      </c>
      <c r="F84" s="47">
        <f>-'Import budget N N-1'!D79</f>
        <v>550</v>
      </c>
      <c r="G84" s="143">
        <f>-'Import budget N N-1'!E79</f>
        <v>580.52</v>
      </c>
      <c r="H84" s="36" t="s">
        <v>29</v>
      </c>
      <c r="I84" s="96">
        <f>'Import budget N N-1'!C26</f>
        <v>0</v>
      </c>
      <c r="J84" s="97">
        <f t="shared" ref="J84:J97" si="11">IF(K84=0,0,I84/K84)</f>
        <v>0</v>
      </c>
      <c r="K84" s="53">
        <f>'Import budget N N-1'!D26</f>
        <v>0</v>
      </c>
      <c r="L84" s="134">
        <f>'Import budget N N-1'!E26</f>
        <v>50</v>
      </c>
    </row>
    <row r="85" spans="1:12" s="18" customFormat="1" x14ac:dyDescent="0.25">
      <c r="C85" s="55" t="s">
        <v>177</v>
      </c>
      <c r="D85" s="109">
        <f>-'Import budget N N-1'!C81</f>
        <v>0</v>
      </c>
      <c r="E85" s="75">
        <f t="shared" si="10"/>
        <v>0</v>
      </c>
      <c r="F85" s="47">
        <f>-'Import budget N N-1'!D81</f>
        <v>40</v>
      </c>
      <c r="G85" s="143">
        <f>-'Import budget N N-1'!E81</f>
        <v>0</v>
      </c>
      <c r="H85" s="36" t="s">
        <v>117</v>
      </c>
      <c r="I85" s="96">
        <f>'Import budget N N-1'!C24</f>
        <v>0</v>
      </c>
      <c r="J85" s="97">
        <f t="shared" si="11"/>
        <v>0</v>
      </c>
      <c r="K85" s="53">
        <f>'Import budget N N-1'!D24</f>
        <v>2000</v>
      </c>
      <c r="L85" s="134">
        <f>'Import budget N N-1'!E24</f>
        <v>3760.38</v>
      </c>
    </row>
    <row r="86" spans="1:12" x14ac:dyDescent="0.25">
      <c r="C86" s="54" t="s">
        <v>82</v>
      </c>
      <c r="D86" s="109">
        <f>-'Import budget N N-1'!C82</f>
        <v>0</v>
      </c>
      <c r="E86" s="75">
        <f t="shared" si="10"/>
        <v>0</v>
      </c>
      <c r="F86" s="47">
        <f>-'Import budget N N-1'!D82</f>
        <v>0</v>
      </c>
      <c r="G86" s="143">
        <f>-'Import budget N N-1'!E82</f>
        <v>0</v>
      </c>
      <c r="H86" s="36"/>
      <c r="I86" s="96"/>
      <c r="J86" s="97"/>
      <c r="K86" s="53"/>
      <c r="L86" s="134"/>
    </row>
    <row r="87" spans="1:12" s="18" customFormat="1" ht="19.5" customHeight="1" x14ac:dyDescent="0.25">
      <c r="A87" s="41" t="s">
        <v>191</v>
      </c>
      <c r="B87" s="28"/>
      <c r="C87" s="28"/>
      <c r="D87" s="91">
        <f>D88+D89</f>
        <v>39215</v>
      </c>
      <c r="E87" s="67">
        <f t="shared" si="10"/>
        <v>0.94040767386091129</v>
      </c>
      <c r="F87" s="58">
        <f>F88+F89</f>
        <v>41700</v>
      </c>
      <c r="G87" s="131">
        <f>G88+G89</f>
        <v>40104.5</v>
      </c>
      <c r="H87" s="28"/>
      <c r="I87" s="91">
        <f>I88+I89</f>
        <v>40672</v>
      </c>
      <c r="J87" s="67">
        <f t="shared" si="11"/>
        <v>1.0167999999999999</v>
      </c>
      <c r="K87" s="58">
        <f>K88+K89</f>
        <v>40000</v>
      </c>
      <c r="L87" s="131">
        <f>L88+L89</f>
        <v>39553</v>
      </c>
    </row>
    <row r="88" spans="1:12" ht="19.5" customHeight="1" x14ac:dyDescent="0.25">
      <c r="A88" s="29"/>
      <c r="B88" s="29"/>
      <c r="C88" s="29" t="s">
        <v>66</v>
      </c>
      <c r="D88" s="92">
        <f>-'Import budget N N-1'!C65</f>
        <v>23571</v>
      </c>
      <c r="E88" s="93">
        <f t="shared" si="10"/>
        <v>0.95429149797570845</v>
      </c>
      <c r="F88" s="94">
        <f>-'Import budget N N-1'!D65</f>
        <v>24700</v>
      </c>
      <c r="G88" s="132">
        <f>-'Import budget N N-1'!E65</f>
        <v>24969</v>
      </c>
      <c r="H88" s="29" t="s">
        <v>25</v>
      </c>
      <c r="I88" s="92">
        <f>'Import budget N N-1'!C21</f>
        <v>25028</v>
      </c>
      <c r="J88" s="93">
        <f t="shared" si="11"/>
        <v>1.0881739130434782</v>
      </c>
      <c r="K88" s="94">
        <f>'Import budget N N-1'!D21</f>
        <v>23000</v>
      </c>
      <c r="L88" s="132">
        <f>'Import budget N N-1'!E21</f>
        <v>24417.5</v>
      </c>
    </row>
    <row r="89" spans="1:12" ht="19.5" customHeight="1" x14ac:dyDescent="0.25">
      <c r="A89" s="29"/>
      <c r="B89" s="29"/>
      <c r="C89" s="29" t="s">
        <v>59</v>
      </c>
      <c r="D89" s="92">
        <f>-'Import budget N N-1'!C57</f>
        <v>15644</v>
      </c>
      <c r="E89" s="93">
        <f t="shared" si="10"/>
        <v>0.92023529411764704</v>
      </c>
      <c r="F89" s="94">
        <f>-'Import budget N N-1'!D57</f>
        <v>17000</v>
      </c>
      <c r="G89" s="132">
        <f>-'Import budget N N-1'!E57</f>
        <v>15135.5</v>
      </c>
      <c r="H89" s="29" t="s">
        <v>15</v>
      </c>
      <c r="I89" s="92">
        <f>'Import budget N N-1'!C11</f>
        <v>15644</v>
      </c>
      <c r="J89" s="93">
        <f t="shared" si="11"/>
        <v>0.92023529411764704</v>
      </c>
      <c r="K89" s="94">
        <f>'Import budget N N-1'!D11</f>
        <v>17000</v>
      </c>
      <c r="L89" s="132">
        <f>'Import budget N N-1'!E11</f>
        <v>15135.5</v>
      </c>
    </row>
    <row r="90" spans="1:12" s="18" customFormat="1" ht="19.5" customHeight="1" x14ac:dyDescent="0.25">
      <c r="A90" s="29"/>
      <c r="B90" s="29"/>
      <c r="C90" s="29"/>
      <c r="D90" s="92"/>
      <c r="E90" s="93">
        <f t="shared" si="10"/>
        <v>0</v>
      </c>
      <c r="F90" s="94"/>
      <c r="G90" s="132"/>
      <c r="H90" s="29"/>
      <c r="I90" s="92"/>
      <c r="J90" s="93"/>
      <c r="K90" s="94"/>
      <c r="L90" s="132"/>
    </row>
    <row r="91" spans="1:12" s="18" customFormat="1" ht="19.5" customHeight="1" x14ac:dyDescent="0.25">
      <c r="A91" s="19" t="s">
        <v>200</v>
      </c>
      <c r="B91" s="20"/>
      <c r="C91" s="20"/>
      <c r="D91" s="108">
        <f>SUM(D92:D95)</f>
        <v>8071.44</v>
      </c>
      <c r="E91" s="73">
        <f t="shared" si="10"/>
        <v>1.0907351351351351</v>
      </c>
      <c r="F91" s="62">
        <f>SUM(F92:F95)</f>
        <v>7400</v>
      </c>
      <c r="G91" s="142">
        <f>SUM(G92:G95)</f>
        <v>626.08999999999992</v>
      </c>
      <c r="H91" s="20"/>
      <c r="I91" s="108">
        <f>SUM(I92:I95)</f>
        <v>0</v>
      </c>
      <c r="J91" s="73">
        <f t="shared" si="11"/>
        <v>0</v>
      </c>
      <c r="K91" s="62">
        <f>SUM(K92:K95)</f>
        <v>0</v>
      </c>
      <c r="L91" s="142">
        <f>SUM(L92:L95)</f>
        <v>50</v>
      </c>
    </row>
    <row r="92" spans="1:12" ht="19.5" customHeight="1" x14ac:dyDescent="0.25">
      <c r="C92" s="54" t="s">
        <v>88</v>
      </c>
      <c r="D92" s="109">
        <f>-'Import budget N N-1'!C88</f>
        <v>0.06</v>
      </c>
      <c r="E92" s="75">
        <f t="shared" si="10"/>
        <v>0</v>
      </c>
      <c r="F92" s="47">
        <f>-'Import budget N N-1'!D88</f>
        <v>0</v>
      </c>
      <c r="G92" s="143">
        <f>-'Import budget N N-1'!E88</f>
        <v>9.42</v>
      </c>
      <c r="H92" s="54"/>
      <c r="I92" s="109"/>
      <c r="J92" s="75"/>
      <c r="K92" s="47"/>
      <c r="L92" s="143"/>
    </row>
    <row r="93" spans="1:12" s="150" customFormat="1" ht="19.5" customHeight="1" x14ac:dyDescent="0.25">
      <c r="C93" s="54" t="s">
        <v>234</v>
      </c>
      <c r="D93" s="109">
        <f>-'Import budget N N-1'!C93</f>
        <v>-8.0299999999999994</v>
      </c>
      <c r="E93" s="75">
        <f t="shared" si="10"/>
        <v>0</v>
      </c>
      <c r="F93" s="47">
        <f>-'Import budget N N-1'!D93</f>
        <v>0</v>
      </c>
      <c r="G93" s="143">
        <f>-'Import budget N N-1'!E93</f>
        <v>0</v>
      </c>
      <c r="H93" s="54"/>
      <c r="I93" s="109"/>
      <c r="J93" s="75"/>
      <c r="K93" s="47"/>
      <c r="L93" s="143"/>
    </row>
    <row r="94" spans="1:12" s="150" customFormat="1" ht="19.5" customHeight="1" x14ac:dyDescent="0.25">
      <c r="C94" s="54" t="s">
        <v>244</v>
      </c>
      <c r="D94" s="109">
        <f>-'Import budget N N-1'!C98</f>
        <v>15</v>
      </c>
      <c r="E94" s="75">
        <f t="shared" ref="E94" si="12">IF(F94=0,0,D94/F94)</f>
        <v>0</v>
      </c>
      <c r="F94" s="47">
        <f>-'Import budget N N-1'!D98</f>
        <v>0</v>
      </c>
      <c r="G94" s="143">
        <f>-'Import budget N N-1'!E98</f>
        <v>0</v>
      </c>
      <c r="H94" s="54"/>
      <c r="I94" s="109"/>
      <c r="J94" s="75"/>
      <c r="K94" s="47"/>
      <c r="L94" s="143"/>
    </row>
    <row r="95" spans="1:12" s="18" customFormat="1" ht="19.5" customHeight="1" x14ac:dyDescent="0.25">
      <c r="C95" s="54" t="s">
        <v>89</v>
      </c>
      <c r="D95" s="109">
        <f>-'Import budget N N-1'!C89</f>
        <v>8064.41</v>
      </c>
      <c r="E95" s="75">
        <f t="shared" si="10"/>
        <v>1.0897851351351351</v>
      </c>
      <c r="F95" s="47">
        <f>-'Import budget N N-1'!D89</f>
        <v>7400</v>
      </c>
      <c r="G95" s="143">
        <f>-'Import budget N N-1'!E89</f>
        <v>616.66999999999996</v>
      </c>
      <c r="H95" s="54" t="s">
        <v>28</v>
      </c>
      <c r="I95" s="109">
        <f>'Import budget N N-1'!C25</f>
        <v>0</v>
      </c>
      <c r="J95" s="75">
        <f t="shared" si="11"/>
        <v>0</v>
      </c>
      <c r="K95" s="47">
        <f>'Import budget N N-1'!D25</f>
        <v>0</v>
      </c>
      <c r="L95" s="143">
        <f>'Import budget N N-1'!E25</f>
        <v>50</v>
      </c>
    </row>
    <row r="96" spans="1:12" ht="19.5" customHeight="1" x14ac:dyDescent="0.25">
      <c r="C96" s="150"/>
      <c r="D96" s="110"/>
      <c r="E96" s="121"/>
      <c r="F96" s="111"/>
      <c r="G96" s="144"/>
      <c r="I96" s="110"/>
      <c r="J96" s="121"/>
      <c r="K96" s="111"/>
      <c r="L96" s="144"/>
    </row>
    <row r="97" spans="1:12" ht="16.5" thickBot="1" x14ac:dyDescent="0.3">
      <c r="A97" s="42" t="s">
        <v>192</v>
      </c>
      <c r="B97" s="43"/>
      <c r="C97" s="43"/>
      <c r="D97" s="112">
        <f>D91+D71+D88+D89+D61+D51+D49</f>
        <v>153054.99</v>
      </c>
      <c r="E97" s="113">
        <f t="shared" si="10"/>
        <v>0.99128879533678749</v>
      </c>
      <c r="F97" s="114">
        <f>F91+F71+F88+F89+F61+F51+F49</f>
        <v>154400</v>
      </c>
      <c r="G97" s="145">
        <f>G91+G71+G88+G89+G61+G51+G49</f>
        <v>140228.24000000002</v>
      </c>
      <c r="H97" s="43"/>
      <c r="I97" s="115">
        <f>I91+I87+I69+I50+I49</f>
        <v>160074.5</v>
      </c>
      <c r="J97" s="116">
        <f t="shared" si="11"/>
        <v>1.0815844594594595</v>
      </c>
      <c r="K97" s="117">
        <f>K91+K87+K69+K50+K49</f>
        <v>148000</v>
      </c>
      <c r="L97" s="146">
        <f>L91+L87+L69+L50+L49</f>
        <v>152786.32</v>
      </c>
    </row>
    <row r="98" spans="1:12" ht="17.25" thickTop="1" thickBot="1" x14ac:dyDescent="0.3">
      <c r="A98" s="42" t="s">
        <v>197</v>
      </c>
      <c r="B98" s="43"/>
      <c r="C98" s="43"/>
      <c r="D98" s="115">
        <f>I97-D97</f>
        <v>7019.5100000000093</v>
      </c>
      <c r="E98" s="116">
        <f t="shared" si="10"/>
        <v>-1.0967984375000015</v>
      </c>
      <c r="F98" s="117">
        <f>K97-F97</f>
        <v>-6400</v>
      </c>
      <c r="G98" s="146">
        <f>L97-G97</f>
        <v>12558.079999999987</v>
      </c>
      <c r="H98" s="18"/>
      <c r="I98" s="18"/>
      <c r="J98" s="122"/>
      <c r="K98" s="18"/>
      <c r="L98" s="18"/>
    </row>
    <row r="99" spans="1:12" ht="15.75" thickTop="1" x14ac:dyDescent="0.25">
      <c r="C99" s="150"/>
      <c r="D99" s="150"/>
      <c r="E99" s="150"/>
      <c r="F99" s="150"/>
      <c r="G99" s="150"/>
    </row>
    <row r="106" spans="1:12" x14ac:dyDescent="0.25">
      <c r="A106" t="s">
        <v>226</v>
      </c>
      <c r="C106" s="150"/>
      <c r="D106" s="150">
        <f>D87-(D88+D89)</f>
        <v>0</v>
      </c>
    </row>
  </sheetData>
  <mergeCells count="2">
    <mergeCell ref="I2:L2"/>
    <mergeCell ref="D2:G2"/>
  </mergeCells>
  <pageMargins left="0.7" right="0.7" top="0.75" bottom="0.75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E3:K30"/>
  <sheetViews>
    <sheetView workbookViewId="0">
      <selection activeCell="I24" sqref="I24"/>
    </sheetView>
  </sheetViews>
  <sheetFormatPr baseColWidth="10" defaultRowHeight="15" x14ac:dyDescent="0.25"/>
  <cols>
    <col min="1" max="16384" width="11.42578125" style="150"/>
  </cols>
  <sheetData>
    <row r="3" spans="5:10" x14ac:dyDescent="0.25">
      <c r="E3" s="150" t="s">
        <v>257</v>
      </c>
    </row>
    <row r="5" spans="5:10" x14ac:dyDescent="0.25">
      <c r="E5" s="150" t="s">
        <v>258</v>
      </c>
      <c r="J5" s="150" t="s">
        <v>259</v>
      </c>
    </row>
    <row r="7" spans="5:10" x14ac:dyDescent="0.25">
      <c r="F7" s="150" t="s">
        <v>252</v>
      </c>
    </row>
    <row r="8" spans="5:10" x14ac:dyDescent="0.25">
      <c r="G8" s="150" t="s">
        <v>253</v>
      </c>
    </row>
    <row r="10" spans="5:10" x14ac:dyDescent="0.25">
      <c r="G10" s="150" t="s">
        <v>254</v>
      </c>
    </row>
    <row r="12" spans="5:10" x14ac:dyDescent="0.25">
      <c r="G12" s="150" t="s">
        <v>255</v>
      </c>
    </row>
    <row r="14" spans="5:10" x14ac:dyDescent="0.25">
      <c r="G14" s="150" t="s">
        <v>256</v>
      </c>
    </row>
    <row r="16" spans="5:10" x14ac:dyDescent="0.25">
      <c r="G16" s="150" t="s">
        <v>265</v>
      </c>
    </row>
    <row r="18" spans="5:11" x14ac:dyDescent="0.25">
      <c r="G18" s="150" t="s">
        <v>264</v>
      </c>
    </row>
    <row r="21" spans="5:11" x14ac:dyDescent="0.25">
      <c r="E21" s="150" t="s">
        <v>260</v>
      </c>
    </row>
    <row r="22" spans="5:11" x14ac:dyDescent="0.25">
      <c r="I22" s="150" t="s">
        <v>262</v>
      </c>
    </row>
    <row r="23" spans="5:11" x14ac:dyDescent="0.25">
      <c r="I23" s="150" t="s">
        <v>263</v>
      </c>
    </row>
    <row r="24" spans="5:11" x14ac:dyDescent="0.25">
      <c r="I24" s="150" t="s">
        <v>266</v>
      </c>
    </row>
    <row r="26" spans="5:11" x14ac:dyDescent="0.25">
      <c r="F26" s="150" t="s">
        <v>261</v>
      </c>
    </row>
    <row r="29" spans="5:11" x14ac:dyDescent="0.25">
      <c r="E29" s="149"/>
      <c r="F29" s="149"/>
      <c r="G29" s="149"/>
      <c r="H29" s="149"/>
      <c r="I29" s="149"/>
      <c r="J29" s="149"/>
      <c r="K29" s="149"/>
    </row>
    <row r="30" spans="5:11" x14ac:dyDescent="0.25">
      <c r="E30" s="149"/>
      <c r="F30" s="149"/>
      <c r="G30" s="149"/>
      <c r="H30" s="149"/>
      <c r="I30" s="149"/>
      <c r="J30" s="149"/>
      <c r="K30" s="149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6"/>
  <sheetViews>
    <sheetView topLeftCell="C1" workbookViewId="0">
      <selection activeCell="J74" sqref="J74"/>
    </sheetView>
  </sheetViews>
  <sheetFormatPr baseColWidth="10" defaultColWidth="9.140625" defaultRowHeight="15" x14ac:dyDescent="0.25"/>
  <cols>
    <col min="1" max="1" width="36.85546875" style="150" bestFit="1" customWidth="1"/>
    <col min="2" max="2" width="1.42578125" style="150" customWidth="1"/>
    <col min="3" max="3" width="54" style="150" customWidth="1"/>
    <col min="4" max="4" width="12.85546875" style="150" customWidth="1"/>
    <col min="5" max="5" width="15.7109375" style="150" bestFit="1" customWidth="1"/>
    <col min="6" max="6" width="13.85546875" style="150" bestFit="1" customWidth="1"/>
    <col min="7" max="7" width="50.28515625" style="150" bestFit="1" customWidth="1"/>
    <col min="8" max="8" width="12.85546875" style="150" customWidth="1"/>
    <col min="9" max="9" width="16.85546875" style="150" customWidth="1"/>
    <col min="10" max="10" width="13.85546875" style="150" bestFit="1" customWidth="1"/>
    <col min="11" max="16384" width="9.140625" style="150"/>
  </cols>
  <sheetData>
    <row r="1" spans="1:14" ht="15.75" thickBot="1" x14ac:dyDescent="0.3"/>
    <row r="2" spans="1:14" ht="15.75" thickTop="1" x14ac:dyDescent="0.25">
      <c r="D2" s="209" t="s">
        <v>188</v>
      </c>
      <c r="E2" s="210"/>
      <c r="F2" s="211"/>
      <c r="H2" s="209" t="s">
        <v>187</v>
      </c>
      <c r="I2" s="210"/>
      <c r="J2" s="211"/>
    </row>
    <row r="3" spans="1:14" ht="19.5" thickBot="1" x14ac:dyDescent="0.35">
      <c r="D3" s="123" t="s">
        <v>186</v>
      </c>
      <c r="E3" s="207" t="s">
        <v>224</v>
      </c>
      <c r="F3" s="206" t="s">
        <v>246</v>
      </c>
      <c r="H3" s="123" t="s">
        <v>186</v>
      </c>
      <c r="I3" s="207" t="s">
        <v>224</v>
      </c>
      <c r="J3" s="206" t="s">
        <v>246</v>
      </c>
    </row>
    <row r="4" spans="1:14" ht="19.5" customHeight="1" thickTop="1" x14ac:dyDescent="0.25">
      <c r="A4" s="21" t="s">
        <v>0</v>
      </c>
      <c r="B4" s="22"/>
      <c r="C4" s="22"/>
      <c r="D4" s="77">
        <f>SUM((D5:D10))</f>
        <v>3673.5600000000004</v>
      </c>
      <c r="E4" s="79">
        <f>SUM((E5:E10))</f>
        <v>5850</v>
      </c>
      <c r="F4" s="125">
        <f>SUM((F5:F10))</f>
        <v>4950</v>
      </c>
      <c r="G4" s="22"/>
      <c r="H4" s="77">
        <f>SUM(H5:H9)</f>
        <v>5492.8</v>
      </c>
      <c r="I4" s="79">
        <f>SUM(I5:I9)</f>
        <v>7200</v>
      </c>
      <c r="J4" s="125">
        <f>SUM(J5:J9)</f>
        <v>5510</v>
      </c>
      <c r="M4" s="197">
        <f>I4-E4</f>
        <v>1350</v>
      </c>
      <c r="N4" s="208">
        <f>J4-F4</f>
        <v>560</v>
      </c>
    </row>
    <row r="5" spans="1:14" ht="19.5" customHeight="1" x14ac:dyDescent="0.25">
      <c r="A5" s="23"/>
      <c r="B5" s="23"/>
      <c r="C5" s="23" t="s">
        <v>30</v>
      </c>
      <c r="D5" s="80">
        <f>-'Import budget N N-1'!C27</f>
        <v>0</v>
      </c>
      <c r="E5" s="82">
        <f>-'Import budget N N-1'!D27</f>
        <v>0</v>
      </c>
      <c r="F5" s="126">
        <v>0</v>
      </c>
      <c r="G5" s="23" t="s">
        <v>5</v>
      </c>
      <c r="H5" s="80">
        <f>'Import budget N N-1'!C2</f>
        <v>234</v>
      </c>
      <c r="I5" s="82">
        <f>'Import budget N N-1'!D2</f>
        <v>1000</v>
      </c>
      <c r="J5" s="126">
        <v>250</v>
      </c>
    </row>
    <row r="6" spans="1:14" ht="19.5" customHeight="1" x14ac:dyDescent="0.25">
      <c r="A6" s="23"/>
      <c r="B6" s="23"/>
      <c r="C6" s="23" t="s">
        <v>50</v>
      </c>
      <c r="D6" s="80">
        <f>-'Import budget N N-1'!C49</f>
        <v>2156.11</v>
      </c>
      <c r="E6" s="82">
        <f>-'Import budget N N-1'!D49</f>
        <v>2500</v>
      </c>
      <c r="F6" s="126">
        <v>2900</v>
      </c>
      <c r="G6" s="23" t="s">
        <v>8</v>
      </c>
      <c r="H6" s="80">
        <f>'Import budget N N-1'!C4</f>
        <v>3540</v>
      </c>
      <c r="I6" s="82">
        <f>'Import budget N N-1'!D4</f>
        <v>5000</v>
      </c>
      <c r="J6" s="126">
        <v>3540</v>
      </c>
    </row>
    <row r="7" spans="1:14" ht="19.5" customHeight="1" x14ac:dyDescent="0.25">
      <c r="A7" s="23"/>
      <c r="B7" s="23"/>
      <c r="C7" s="23" t="s">
        <v>53</v>
      </c>
      <c r="D7" s="80">
        <f>-'Import budget N N-1'!C52</f>
        <v>0</v>
      </c>
      <c r="E7" s="82">
        <f>-'Import budget N N-1'!D52</f>
        <v>1000</v>
      </c>
      <c r="F7" s="126">
        <v>0</v>
      </c>
      <c r="G7" s="23" t="s">
        <v>10</v>
      </c>
      <c r="H7" s="80">
        <f>'Import budget N N-1'!C6</f>
        <v>50</v>
      </c>
      <c r="I7" s="82">
        <f>'Import budget N N-1'!D6</f>
        <v>200</v>
      </c>
      <c r="J7" s="126">
        <v>50</v>
      </c>
    </row>
    <row r="8" spans="1:14" ht="19.5" customHeight="1" x14ac:dyDescent="0.25">
      <c r="A8" s="23"/>
      <c r="B8" s="23"/>
      <c r="C8" s="23" t="s">
        <v>37</v>
      </c>
      <c r="D8" s="80">
        <f>-'Import budget N N-1'!C34</f>
        <v>219.9</v>
      </c>
      <c r="E8" s="82">
        <f>-'Import budget N N-1'!D34</f>
        <v>450</v>
      </c>
      <c r="F8" s="126">
        <v>300</v>
      </c>
      <c r="G8" s="23" t="s">
        <v>26</v>
      </c>
      <c r="H8" s="80">
        <f>'Import budget N N-1'!C22</f>
        <v>1668.8</v>
      </c>
      <c r="I8" s="82">
        <f>'Import budget N N-1'!D22</f>
        <v>1000</v>
      </c>
      <c r="J8" s="126">
        <v>1670</v>
      </c>
    </row>
    <row r="9" spans="1:14" ht="19.5" customHeight="1" x14ac:dyDescent="0.25">
      <c r="A9" s="23"/>
      <c r="B9" s="23"/>
      <c r="C9" s="23" t="s">
        <v>62</v>
      </c>
      <c r="D9" s="80">
        <f>-'Import budget N N-1'!C61</f>
        <v>-150</v>
      </c>
      <c r="E9" s="82">
        <f>-'Import budget N N-1'!D61</f>
        <v>1000</v>
      </c>
      <c r="F9" s="126">
        <v>250</v>
      </c>
      <c r="G9" s="23"/>
      <c r="H9" s="80"/>
      <c r="I9" s="82"/>
      <c r="J9" s="126"/>
    </row>
    <row r="10" spans="1:14" ht="19.5" customHeight="1" x14ac:dyDescent="0.25">
      <c r="A10" s="23"/>
      <c r="B10" s="23"/>
      <c r="C10" s="23" t="s">
        <v>49</v>
      </c>
      <c r="D10" s="23">
        <f>-'Import budget N N-1'!C48</f>
        <v>1447.55</v>
      </c>
      <c r="E10" s="23">
        <f>-'Import budget N N-1'!D48</f>
        <v>900</v>
      </c>
      <c r="F10" s="126">
        <v>1500</v>
      </c>
      <c r="G10" s="23"/>
      <c r="H10" s="80"/>
      <c r="I10" s="82"/>
      <c r="J10" s="126"/>
    </row>
    <row r="11" spans="1:14" ht="19.5" customHeight="1" x14ac:dyDescent="0.25">
      <c r="A11" s="24" t="s">
        <v>1</v>
      </c>
      <c r="B11" s="25"/>
      <c r="C11" s="25"/>
      <c r="D11" s="83">
        <f>SUM((D12:D17))</f>
        <v>20303.61</v>
      </c>
      <c r="E11" s="56">
        <f>SUM((E12:E17))</f>
        <v>16350</v>
      </c>
      <c r="F11" s="127">
        <f>SUM((F12:F17))</f>
        <v>20500</v>
      </c>
      <c r="G11" s="25"/>
      <c r="H11" s="83">
        <f>SUM((H12:H17))</f>
        <v>39952.22</v>
      </c>
      <c r="I11" s="56">
        <f>SUM((I12:I17))</f>
        <v>28300</v>
      </c>
      <c r="J11" s="127">
        <f>SUM((J12:J17))</f>
        <v>39990</v>
      </c>
      <c r="M11" s="197">
        <f>I11-E11</f>
        <v>11950</v>
      </c>
      <c r="N11" s="208">
        <f>J11-F11</f>
        <v>19490</v>
      </c>
    </row>
    <row r="12" spans="1:14" ht="19.5" customHeight="1" x14ac:dyDescent="0.25">
      <c r="A12" s="26"/>
      <c r="B12" s="26"/>
      <c r="C12" s="26" t="s">
        <v>51</v>
      </c>
      <c r="D12" s="84">
        <f>-'Import budget N N-1'!C50</f>
        <v>7926.89</v>
      </c>
      <c r="E12" s="86">
        <f>-'Import budget N N-1'!D50</f>
        <v>4500</v>
      </c>
      <c r="F12" s="128">
        <v>8000</v>
      </c>
      <c r="G12" s="26" t="s">
        <v>9</v>
      </c>
      <c r="H12" s="84">
        <f>'Import budget N N-1'!C5</f>
        <v>9255</v>
      </c>
      <c r="I12" s="86">
        <f>'Import budget N N-1'!D5</f>
        <v>800</v>
      </c>
      <c r="J12" s="128">
        <v>9255</v>
      </c>
    </row>
    <row r="13" spans="1:14" ht="19.5" customHeight="1" x14ac:dyDescent="0.25">
      <c r="A13" s="26"/>
      <c r="B13" s="26"/>
      <c r="C13" s="26" t="s">
        <v>38</v>
      </c>
      <c r="D13" s="84">
        <f>-'Import budget N N-1'!C35</f>
        <v>5155.87</v>
      </c>
      <c r="E13" s="86">
        <f>-'Import budget N N-1'!D35</f>
        <v>3900</v>
      </c>
      <c r="F13" s="128">
        <v>5200</v>
      </c>
      <c r="G13" s="26" t="s">
        <v>11</v>
      </c>
      <c r="H13" s="84">
        <f>'Import budget N N-1'!C7</f>
        <v>25065</v>
      </c>
      <c r="I13" s="86">
        <f>'Import budget N N-1'!D7</f>
        <v>24000</v>
      </c>
      <c r="J13" s="128">
        <v>25100</v>
      </c>
    </row>
    <row r="14" spans="1:14" ht="19.5" customHeight="1" x14ac:dyDescent="0.25">
      <c r="A14" s="26"/>
      <c r="B14" s="26"/>
      <c r="C14" s="26" t="s">
        <v>32</v>
      </c>
      <c r="D14" s="84">
        <f>-'Import budget N N-1'!C29</f>
        <v>279.38</v>
      </c>
      <c r="E14" s="86">
        <f>-'Import budget N N-1'!D29</f>
        <v>1000</v>
      </c>
      <c r="F14" s="128">
        <v>280</v>
      </c>
      <c r="G14" s="26" t="s">
        <v>13</v>
      </c>
      <c r="H14" s="84">
        <f>'Import budget N N-1'!C9</f>
        <v>5632.22</v>
      </c>
      <c r="I14" s="86">
        <f>'Import budget N N-1'!D9</f>
        <v>3500</v>
      </c>
      <c r="J14" s="128">
        <v>5635</v>
      </c>
    </row>
    <row r="15" spans="1:14" ht="19.5" customHeight="1" x14ac:dyDescent="0.25">
      <c r="A15" s="26"/>
      <c r="B15" s="26"/>
      <c r="C15" s="26" t="s">
        <v>57</v>
      </c>
      <c r="D15" s="84">
        <f>-'Import budget N N-1'!C56</f>
        <v>2520</v>
      </c>
      <c r="E15" s="86">
        <f>-'Import budget N N-1'!D56</f>
        <v>1700</v>
      </c>
      <c r="F15" s="128">
        <v>2520</v>
      </c>
      <c r="G15" s="26"/>
      <c r="H15" s="84"/>
      <c r="I15" s="86"/>
      <c r="J15" s="128"/>
    </row>
    <row r="16" spans="1:14" ht="19.5" customHeight="1" x14ac:dyDescent="0.25">
      <c r="A16" s="26"/>
      <c r="B16" s="26"/>
      <c r="C16" s="26" t="s">
        <v>58</v>
      </c>
      <c r="D16" s="84">
        <f>-'Import budget N N-1'!C58</f>
        <v>0</v>
      </c>
      <c r="E16" s="86">
        <f>-'Import budget N N-1'!D58</f>
        <v>250</v>
      </c>
      <c r="F16" s="128">
        <v>0</v>
      </c>
      <c r="G16" s="26"/>
      <c r="H16" s="84"/>
      <c r="I16" s="86"/>
      <c r="J16" s="128"/>
    </row>
    <row r="17" spans="1:14" ht="19.5" customHeight="1" x14ac:dyDescent="0.25">
      <c r="A17" s="26"/>
      <c r="B17" s="26"/>
      <c r="C17" s="26" t="s">
        <v>71</v>
      </c>
      <c r="D17" s="84">
        <f>-'Import budget N N-1'!C70</f>
        <v>4421.47</v>
      </c>
      <c r="E17" s="86">
        <f>-'Import budget N N-1'!D70</f>
        <v>5000</v>
      </c>
      <c r="F17" s="128">
        <v>4500</v>
      </c>
      <c r="G17" s="26"/>
      <c r="H17" s="84"/>
      <c r="I17" s="86"/>
      <c r="J17" s="128"/>
    </row>
    <row r="18" spans="1:14" ht="19.5" customHeight="1" x14ac:dyDescent="0.25">
      <c r="A18" s="26"/>
      <c r="B18" s="26"/>
      <c r="C18" s="26"/>
      <c r="D18" s="84"/>
      <c r="E18" s="26"/>
      <c r="F18" s="128"/>
      <c r="G18" s="26"/>
      <c r="H18" s="84"/>
      <c r="I18" s="86"/>
      <c r="J18" s="128"/>
    </row>
    <row r="19" spans="1:14" ht="19.5" customHeight="1" x14ac:dyDescent="0.25">
      <c r="A19" s="30" t="s">
        <v>18</v>
      </c>
      <c r="B19" s="31"/>
      <c r="C19" s="31"/>
      <c r="D19" s="87">
        <f>SUM((D20:D22))</f>
        <v>2060.65</v>
      </c>
      <c r="E19" s="57">
        <f>SUM((E20:E21))</f>
        <v>1600</v>
      </c>
      <c r="F19" s="129">
        <f>SUM((F20:F22))</f>
        <v>2070</v>
      </c>
      <c r="G19" s="31"/>
      <c r="H19" s="87">
        <f>SUM((H20:H21))</f>
        <v>2890</v>
      </c>
      <c r="I19" s="57">
        <f>SUM((I20:I21))</f>
        <v>2500</v>
      </c>
      <c r="J19" s="129">
        <f>SUM((J20:J21))</f>
        <v>2890</v>
      </c>
      <c r="M19" s="197">
        <f>I19-E19</f>
        <v>900</v>
      </c>
      <c r="N19" s="208">
        <f>J19-F19</f>
        <v>820</v>
      </c>
    </row>
    <row r="20" spans="1:14" ht="19.5" customHeight="1" x14ac:dyDescent="0.25">
      <c r="A20" s="32"/>
      <c r="B20" s="32"/>
      <c r="C20" s="33" t="s">
        <v>132</v>
      </c>
      <c r="D20" s="88">
        <f>-'Import budget N N-1'!C38</f>
        <v>66</v>
      </c>
      <c r="E20" s="90">
        <f>-'Import budget N N-1'!D38</f>
        <v>100</v>
      </c>
      <c r="F20" s="130">
        <v>70</v>
      </c>
      <c r="G20" s="32" t="s">
        <v>19</v>
      </c>
      <c r="H20" s="88">
        <f>'Import budget N N-1'!C14</f>
        <v>1090</v>
      </c>
      <c r="I20" s="90">
        <f>'Import budget N N-1'!D14</f>
        <v>800</v>
      </c>
      <c r="J20" s="130">
        <v>1090</v>
      </c>
    </row>
    <row r="21" spans="1:14" ht="19.5" customHeight="1" x14ac:dyDescent="0.25">
      <c r="A21" s="32"/>
      <c r="B21" s="32"/>
      <c r="C21" s="32" t="s">
        <v>73</v>
      </c>
      <c r="D21" s="88">
        <f>-'Import budget N N-1'!C72</f>
        <v>1744.65</v>
      </c>
      <c r="E21" s="90">
        <f>-'Import budget N N-1'!D72</f>
        <v>1500</v>
      </c>
      <c r="F21" s="130">
        <v>1750</v>
      </c>
      <c r="G21" s="32" t="s">
        <v>14</v>
      </c>
      <c r="H21" s="88">
        <f>'Import budget N N-1'!C10</f>
        <v>1800</v>
      </c>
      <c r="I21" s="90">
        <f>'Import budget N N-1'!D10</f>
        <v>1700</v>
      </c>
      <c r="J21" s="130">
        <v>1800</v>
      </c>
    </row>
    <row r="22" spans="1:14" ht="19.5" customHeight="1" x14ac:dyDescent="0.25">
      <c r="A22" s="32"/>
      <c r="B22" s="32"/>
      <c r="C22" s="32" t="str">
        <f>'Import budget N N-1'!B99</f>
        <v>628000 - Services extérieurs, frais divers (ex: journée de formation)</v>
      </c>
      <c r="D22" s="88">
        <f>-'Import budget N N-1'!C99</f>
        <v>250</v>
      </c>
      <c r="E22" s="32">
        <v>0</v>
      </c>
      <c r="F22" s="130">
        <v>250</v>
      </c>
      <c r="G22" s="32"/>
      <c r="H22" s="88"/>
      <c r="I22" s="90"/>
      <c r="J22" s="130"/>
    </row>
    <row r="23" spans="1:14" ht="19.5" customHeight="1" x14ac:dyDescent="0.25">
      <c r="A23" s="27" t="s">
        <v>2</v>
      </c>
      <c r="B23" s="28"/>
      <c r="C23" s="28"/>
      <c r="D23" s="91">
        <f>SUM((D24:D27))</f>
        <v>470.29999999999995</v>
      </c>
      <c r="E23" s="58">
        <f>SUM((E24:E27))</f>
        <v>2800</v>
      </c>
      <c r="F23" s="131">
        <f>SUM((F24:F27))</f>
        <v>2480</v>
      </c>
      <c r="G23" s="28"/>
      <c r="H23" s="91">
        <f>SUM((H24:H26))</f>
        <v>6678</v>
      </c>
      <c r="I23" s="58">
        <f>SUM((I24:I26))</f>
        <v>8700</v>
      </c>
      <c r="J23" s="131">
        <f>SUM((J24:J26))</f>
        <v>6678</v>
      </c>
      <c r="M23" s="197">
        <f>I23-E23</f>
        <v>5900</v>
      </c>
      <c r="N23" s="208">
        <f>J23-F23</f>
        <v>4198</v>
      </c>
    </row>
    <row r="24" spans="1:14" ht="19.5" customHeight="1" x14ac:dyDescent="0.25">
      <c r="A24" s="29"/>
      <c r="B24" s="29"/>
      <c r="C24" s="29" t="s">
        <v>40</v>
      </c>
      <c r="D24" s="92">
        <f>-'Import budget N N-1'!C37</f>
        <v>0</v>
      </c>
      <c r="E24" s="94">
        <f>-'Import budget N N-1'!D37</f>
        <v>150</v>
      </c>
      <c r="F24" s="132">
        <v>0</v>
      </c>
      <c r="G24" s="29" t="s">
        <v>12</v>
      </c>
      <c r="H24" s="92">
        <f>'Import budget N N-1'!C8</f>
        <v>828</v>
      </c>
      <c r="I24" s="94">
        <f>'Import budget N N-1'!D8</f>
        <v>700</v>
      </c>
      <c r="J24" s="132">
        <v>828</v>
      </c>
    </row>
    <row r="25" spans="1:14" ht="19.5" customHeight="1" x14ac:dyDescent="0.25">
      <c r="A25" s="29"/>
      <c r="B25" s="29"/>
      <c r="C25" s="29" t="s">
        <v>45</v>
      </c>
      <c r="D25" s="92">
        <f>-'Import budget N N-1'!C44</f>
        <v>271.83999999999997</v>
      </c>
      <c r="E25" s="94">
        <f>-'Import budget N N-1'!D44</f>
        <v>150</v>
      </c>
      <c r="F25" s="132">
        <v>280</v>
      </c>
      <c r="G25" s="29" t="s">
        <v>16</v>
      </c>
      <c r="H25" s="92">
        <f>'Import budget N N-1'!C12</f>
        <v>5850</v>
      </c>
      <c r="I25" s="94">
        <f>'Import budget N N-1'!D12</f>
        <v>8000</v>
      </c>
      <c r="J25" s="132">
        <v>5850</v>
      </c>
    </row>
    <row r="26" spans="1:14" ht="19.5" customHeight="1" x14ac:dyDescent="0.25">
      <c r="A26" s="29"/>
      <c r="B26" s="29"/>
      <c r="C26" s="29" t="s">
        <v>54</v>
      </c>
      <c r="D26" s="92">
        <f>-'Import budget N N-1'!C53</f>
        <v>0</v>
      </c>
      <c r="E26" s="94">
        <f>-'Import budget N N-1'!D53</f>
        <v>2500</v>
      </c>
      <c r="F26" s="132">
        <v>2000</v>
      </c>
      <c r="G26" s="29"/>
      <c r="H26" s="92"/>
      <c r="I26" s="94"/>
      <c r="J26" s="132"/>
    </row>
    <row r="27" spans="1:14" ht="19.5" customHeight="1" x14ac:dyDescent="0.25">
      <c r="A27" s="29"/>
      <c r="B27" s="29"/>
      <c r="C27" s="29" t="s">
        <v>242</v>
      </c>
      <c r="D27" s="92">
        <f>-'Import budget N N-1'!C97</f>
        <v>198.46</v>
      </c>
      <c r="E27" s="94">
        <f>-'Import budget N N-1'!D97</f>
        <v>0</v>
      </c>
      <c r="F27" s="132">
        <v>200</v>
      </c>
      <c r="G27" s="29"/>
      <c r="H27" s="92"/>
      <c r="I27" s="94"/>
      <c r="J27" s="132"/>
    </row>
    <row r="28" spans="1:14" ht="19.5" customHeight="1" x14ac:dyDescent="0.25">
      <c r="A28" s="29"/>
      <c r="B28" s="29"/>
      <c r="C28" s="29"/>
      <c r="D28" s="92"/>
      <c r="E28" s="29"/>
      <c r="F28" s="132"/>
      <c r="G28" s="29"/>
      <c r="H28" s="92"/>
      <c r="I28" s="94"/>
      <c r="J28" s="132"/>
    </row>
    <row r="29" spans="1:14" ht="19.5" customHeight="1" x14ac:dyDescent="0.25">
      <c r="A29" s="34" t="s">
        <v>3</v>
      </c>
      <c r="B29" s="35"/>
      <c r="C29" s="35"/>
      <c r="D29" s="95">
        <f>SUM((D30:D32))</f>
        <v>5931.15</v>
      </c>
      <c r="E29" s="59">
        <f>SUM((E30:E32))</f>
        <v>4600</v>
      </c>
      <c r="F29" s="133">
        <f>SUM((F30:F32))</f>
        <v>5933</v>
      </c>
      <c r="G29" s="35"/>
      <c r="H29" s="95">
        <f>SUM((H30:H32))</f>
        <v>10250</v>
      </c>
      <c r="I29" s="59">
        <f>SUM((I30:I32))</f>
        <v>10700</v>
      </c>
      <c r="J29" s="133">
        <f>SUM((J30:J32))</f>
        <v>10250</v>
      </c>
      <c r="M29" s="197">
        <f>I29-E29</f>
        <v>6100</v>
      </c>
      <c r="N29" s="208">
        <f>J29-F29</f>
        <v>4317</v>
      </c>
    </row>
    <row r="30" spans="1:14" ht="19.5" customHeight="1" x14ac:dyDescent="0.25">
      <c r="A30" s="36"/>
      <c r="B30" s="36"/>
      <c r="C30" s="36" t="s">
        <v>39</v>
      </c>
      <c r="D30" s="96">
        <f>-'Import budget N N-1'!C36</f>
        <v>1442.95</v>
      </c>
      <c r="E30" s="53">
        <f>-'Import budget N N-1'!D36</f>
        <v>700</v>
      </c>
      <c r="F30" s="134">
        <v>1443</v>
      </c>
      <c r="G30" s="36" t="s">
        <v>17</v>
      </c>
      <c r="H30" s="96">
        <f>'Import budget N N-1'!C13</f>
        <v>7200</v>
      </c>
      <c r="I30" s="53">
        <f>'Import budget N N-1'!D13</f>
        <v>8000</v>
      </c>
      <c r="J30" s="134">
        <v>7200</v>
      </c>
    </row>
    <row r="31" spans="1:14" ht="19.5" customHeight="1" x14ac:dyDescent="0.25">
      <c r="A31" s="36"/>
      <c r="B31" s="36"/>
      <c r="C31" s="36" t="s">
        <v>52</v>
      </c>
      <c r="D31" s="96">
        <f>-'Import budget N N-1'!C51</f>
        <v>2488.1999999999998</v>
      </c>
      <c r="E31" s="53">
        <f>-'Import budget N N-1'!D51</f>
        <v>3900</v>
      </c>
      <c r="F31" s="134">
        <v>2490</v>
      </c>
      <c r="G31" s="36" t="s">
        <v>20</v>
      </c>
      <c r="H31" s="96">
        <f>'Import budget N N-1'!C15</f>
        <v>2050</v>
      </c>
      <c r="I31" s="53">
        <f>'Import budget N N-1'!D15</f>
        <v>2700</v>
      </c>
      <c r="J31" s="134">
        <v>2050</v>
      </c>
    </row>
    <row r="32" spans="1:14" ht="19.5" customHeight="1" x14ac:dyDescent="0.25">
      <c r="A32" s="36"/>
      <c r="B32" s="36"/>
      <c r="C32" s="36" t="s">
        <v>249</v>
      </c>
      <c r="D32" s="96">
        <f>-'Import budget N N-1'!C100</f>
        <v>2000</v>
      </c>
      <c r="E32" s="36">
        <f>-'Import budget N N-1'!D100</f>
        <v>0</v>
      </c>
      <c r="F32" s="134">
        <v>2000</v>
      </c>
      <c r="G32" s="204" t="s">
        <v>232</v>
      </c>
      <c r="H32" s="96">
        <f>'Import budget N N-1'!C92</f>
        <v>1000</v>
      </c>
      <c r="I32" s="53">
        <f>'Import budget N N-1'!D92</f>
        <v>0</v>
      </c>
      <c r="J32" s="134">
        <v>1000</v>
      </c>
    </row>
    <row r="33" spans="1:14" ht="19.5" customHeight="1" x14ac:dyDescent="0.25">
      <c r="A33" s="37" t="s">
        <v>7</v>
      </c>
      <c r="B33" s="38"/>
      <c r="C33" s="38"/>
      <c r="D33" s="98">
        <f>SUM((D34:D46))</f>
        <v>16661.91</v>
      </c>
      <c r="E33" s="60">
        <f>SUM((E34:E46))</f>
        <v>12700</v>
      </c>
      <c r="F33" s="135">
        <f>SUM((F34:F46))</f>
        <v>16721</v>
      </c>
      <c r="G33" s="38"/>
      <c r="H33" s="98">
        <f>SUM((H34:H45))</f>
        <v>7500</v>
      </c>
      <c r="I33" s="60">
        <f>SUM((I34:I45))</f>
        <v>0</v>
      </c>
      <c r="J33" s="135">
        <f>SUM((J34:J45))</f>
        <v>7500</v>
      </c>
      <c r="M33" s="197">
        <f>I33-E33</f>
        <v>-12700</v>
      </c>
      <c r="N33" s="208">
        <f>J33-F33</f>
        <v>-9221</v>
      </c>
    </row>
    <row r="34" spans="1:14" ht="19.5" customHeight="1" x14ac:dyDescent="0.25">
      <c r="A34" s="39"/>
      <c r="B34" s="39"/>
      <c r="C34" s="39" t="s">
        <v>33</v>
      </c>
      <c r="D34" s="99">
        <f>-'Import budget N N-1'!C30</f>
        <v>1374.91</v>
      </c>
      <c r="E34" s="101">
        <f>-'Import budget N N-1'!D30</f>
        <v>850</v>
      </c>
      <c r="F34" s="136">
        <v>1375</v>
      </c>
      <c r="G34" s="39" t="s">
        <v>6</v>
      </c>
      <c r="H34" s="99">
        <f>'Import budget N N-1'!C3</f>
        <v>0</v>
      </c>
      <c r="I34" s="101">
        <f>'Import budget N N-1'!D3</f>
        <v>0</v>
      </c>
      <c r="J34" s="136">
        <v>0</v>
      </c>
    </row>
    <row r="35" spans="1:14" ht="19.5" customHeight="1" x14ac:dyDescent="0.25">
      <c r="A35" s="39"/>
      <c r="B35" s="39"/>
      <c r="C35" s="39" t="s">
        <v>34</v>
      </c>
      <c r="D35" s="99">
        <f>-'Import budget N N-1'!C31</f>
        <v>50.1</v>
      </c>
      <c r="E35" s="101">
        <f>-'Import budget N N-1'!D31</f>
        <v>50</v>
      </c>
      <c r="F35" s="136">
        <v>50</v>
      </c>
      <c r="G35" s="39" t="s">
        <v>236</v>
      </c>
      <c r="H35" s="99">
        <f>'Import budget N N-1'!C94</f>
        <v>7500</v>
      </c>
      <c r="I35" s="101">
        <f>'Import budget N N-1'!D94</f>
        <v>0</v>
      </c>
      <c r="J35" s="136">
        <v>7500</v>
      </c>
    </row>
    <row r="36" spans="1:14" ht="19.5" customHeight="1" x14ac:dyDescent="0.25">
      <c r="A36" s="39"/>
      <c r="B36" s="39"/>
      <c r="C36" s="39" t="s">
        <v>35</v>
      </c>
      <c r="D36" s="99">
        <f>-'Import budget N N-1'!C32</f>
        <v>722.79</v>
      </c>
      <c r="E36" s="101">
        <f>-'Import budget N N-1'!D32</f>
        <v>300</v>
      </c>
      <c r="F36" s="136">
        <v>725</v>
      </c>
      <c r="G36" s="39"/>
      <c r="H36" s="99"/>
      <c r="I36" s="101"/>
      <c r="J36" s="136"/>
    </row>
    <row r="37" spans="1:14" ht="19.5" customHeight="1" x14ac:dyDescent="0.25">
      <c r="A37" s="39"/>
      <c r="B37" s="39"/>
      <c r="C37" s="39" t="s">
        <v>240</v>
      </c>
      <c r="D37" s="99">
        <f>-'Import budget N N-1'!C96</f>
        <v>983.16</v>
      </c>
      <c r="E37" s="101">
        <f>-'Import budget N N-1'!D96</f>
        <v>450</v>
      </c>
      <c r="F37" s="136">
        <v>1000</v>
      </c>
      <c r="G37" s="39"/>
      <c r="H37" s="99"/>
      <c r="I37" s="101"/>
      <c r="J37" s="136"/>
    </row>
    <row r="38" spans="1:14" ht="19.5" customHeight="1" x14ac:dyDescent="0.25">
      <c r="A38" s="39"/>
      <c r="B38" s="39"/>
      <c r="C38" s="39" t="s">
        <v>36</v>
      </c>
      <c r="D38" s="99">
        <f>-'Import budget N N-1'!C33</f>
        <v>608.34</v>
      </c>
      <c r="E38" s="101">
        <f>-'Import budget N N-1'!D33</f>
        <v>600</v>
      </c>
      <c r="F38" s="136">
        <v>610</v>
      </c>
      <c r="G38" s="39"/>
      <c r="H38" s="99"/>
      <c r="I38" s="101"/>
      <c r="J38" s="136"/>
    </row>
    <row r="39" spans="1:14" ht="19.5" customHeight="1" x14ac:dyDescent="0.25">
      <c r="A39" s="39"/>
      <c r="B39" s="39"/>
      <c r="C39" s="39" t="s">
        <v>41</v>
      </c>
      <c r="D39" s="99">
        <f>-'Import budget N N-1'!C39</f>
        <v>2520.34</v>
      </c>
      <c r="E39" s="101">
        <f>-'Import budget N N-1'!D39</f>
        <v>1650</v>
      </c>
      <c r="F39" s="136">
        <v>2520</v>
      </c>
      <c r="G39" s="39"/>
      <c r="H39" s="99"/>
      <c r="I39" s="101"/>
      <c r="J39" s="136"/>
    </row>
    <row r="40" spans="1:14" ht="19.5" customHeight="1" x14ac:dyDescent="0.25">
      <c r="A40" s="39"/>
      <c r="B40" s="39"/>
      <c r="C40" s="39" t="s">
        <v>42</v>
      </c>
      <c r="D40" s="99">
        <f>-'Import budget N N-1'!C40</f>
        <v>232.38</v>
      </c>
      <c r="E40" s="101">
        <f>-'Import budget N N-1'!D40</f>
        <v>0</v>
      </c>
      <c r="F40" s="136">
        <v>250</v>
      </c>
      <c r="G40" s="39"/>
      <c r="H40" s="99"/>
      <c r="I40" s="101"/>
      <c r="J40" s="136"/>
    </row>
    <row r="41" spans="1:14" ht="19.5" customHeight="1" x14ac:dyDescent="0.25">
      <c r="A41" s="39"/>
      <c r="B41" s="39"/>
      <c r="C41" s="39" t="s">
        <v>43</v>
      </c>
      <c r="D41" s="99">
        <f>-'Import budget N N-1'!C41</f>
        <v>393.2</v>
      </c>
      <c r="E41" s="101">
        <f>-'Import budget N N-1'!D41</f>
        <v>750</v>
      </c>
      <c r="F41" s="136">
        <v>400</v>
      </c>
      <c r="G41" s="39"/>
      <c r="H41" s="99"/>
      <c r="I41" s="101"/>
      <c r="J41" s="136"/>
    </row>
    <row r="42" spans="1:14" ht="19.5" customHeight="1" x14ac:dyDescent="0.25">
      <c r="A42" s="39"/>
      <c r="B42" s="39"/>
      <c r="C42" s="40" t="s">
        <v>137</v>
      </c>
      <c r="D42" s="99">
        <f>-'Import budget N N-1'!C42</f>
        <v>0</v>
      </c>
      <c r="E42" s="101">
        <f>-'Import budget N N-1'!D42</f>
        <v>100</v>
      </c>
      <c r="F42" s="136">
        <f>-'Import budget N N-1'!E42</f>
        <v>0</v>
      </c>
      <c r="G42" s="39"/>
      <c r="H42" s="99"/>
      <c r="I42" s="101"/>
      <c r="J42" s="136"/>
    </row>
    <row r="43" spans="1:14" ht="19.5" customHeight="1" x14ac:dyDescent="0.25">
      <c r="A43" s="39"/>
      <c r="B43" s="39"/>
      <c r="C43" s="39" t="s">
        <v>44</v>
      </c>
      <c r="D43" s="99">
        <f>-'Import budget N N-1'!C43</f>
        <v>1766.53</v>
      </c>
      <c r="E43" s="101">
        <f>-'Import budget N N-1'!D43</f>
        <v>1000</v>
      </c>
      <c r="F43" s="136">
        <v>1780</v>
      </c>
      <c r="G43" s="39"/>
      <c r="H43" s="99"/>
      <c r="I43" s="101"/>
      <c r="J43" s="136"/>
    </row>
    <row r="44" spans="1:14" ht="19.5" customHeight="1" x14ac:dyDescent="0.25">
      <c r="A44" s="39"/>
      <c r="B44" s="39"/>
      <c r="C44" s="39" t="s">
        <v>46</v>
      </c>
      <c r="D44" s="99">
        <f>-'Import budget N N-1'!C45</f>
        <v>1173.6400000000001</v>
      </c>
      <c r="E44" s="101">
        <f>-'Import budget N N-1'!D45</f>
        <v>100</v>
      </c>
      <c r="F44" s="136">
        <v>1175</v>
      </c>
      <c r="G44" s="39"/>
      <c r="H44" s="99"/>
      <c r="I44" s="101"/>
      <c r="J44" s="136"/>
    </row>
    <row r="45" spans="1:14" ht="19.5" customHeight="1" x14ac:dyDescent="0.25">
      <c r="A45" s="39"/>
      <c r="B45" s="39"/>
      <c r="C45" s="39" t="s">
        <v>64</v>
      </c>
      <c r="D45" s="99">
        <f>-'Import budget N N-1'!C63</f>
        <v>6336.52</v>
      </c>
      <c r="E45" s="101">
        <f>-'Import budget N N-1'!D63</f>
        <v>6850</v>
      </c>
      <c r="F45" s="136">
        <v>6336</v>
      </c>
      <c r="G45" s="39"/>
      <c r="H45" s="99"/>
      <c r="I45" s="101"/>
      <c r="J45" s="136"/>
    </row>
    <row r="46" spans="1:14" ht="19.5" customHeight="1" x14ac:dyDescent="0.25">
      <c r="A46" s="39"/>
      <c r="B46" s="39"/>
      <c r="C46" s="39" t="s">
        <v>237</v>
      </c>
      <c r="D46" s="99">
        <f>-'Import budget N N-1'!C95</f>
        <v>500</v>
      </c>
      <c r="E46" s="101">
        <f>-'Import budget N N-1'!D95</f>
        <v>0</v>
      </c>
      <c r="F46" s="136">
        <v>500</v>
      </c>
      <c r="G46" s="39"/>
      <c r="H46" s="99"/>
      <c r="I46" s="39"/>
      <c r="J46" s="136"/>
    </row>
    <row r="47" spans="1:14" ht="19.5" customHeight="1" x14ac:dyDescent="0.25">
      <c r="A47" s="24" t="s">
        <v>4</v>
      </c>
      <c r="B47" s="25"/>
      <c r="C47" s="25"/>
      <c r="D47" s="83">
        <f>D48</f>
        <v>240</v>
      </c>
      <c r="E47" s="56">
        <v>0</v>
      </c>
      <c r="F47" s="127">
        <f>F48</f>
        <v>240</v>
      </c>
      <c r="G47" s="25"/>
      <c r="H47" s="83">
        <v>0</v>
      </c>
      <c r="I47" s="56">
        <v>0</v>
      </c>
      <c r="J47" s="127">
        <v>0</v>
      </c>
      <c r="M47" s="197">
        <f>I47-E47</f>
        <v>0</v>
      </c>
      <c r="N47" s="208">
        <f>J47-F47</f>
        <v>-240</v>
      </c>
    </row>
    <row r="48" spans="1:14" ht="19.5" customHeight="1" x14ac:dyDescent="0.25">
      <c r="A48" s="24"/>
      <c r="B48" s="25"/>
      <c r="C48" s="203" t="s">
        <v>229</v>
      </c>
      <c r="D48" s="83">
        <f>-'Import budget N N-1'!C91</f>
        <v>240</v>
      </c>
      <c r="E48" s="56">
        <f>-'Import budget N N-1'!D91</f>
        <v>0</v>
      </c>
      <c r="F48" s="127">
        <v>240</v>
      </c>
      <c r="G48" s="25"/>
      <c r="H48" s="83"/>
      <c r="I48" s="56"/>
      <c r="J48" s="127"/>
      <c r="M48" s="197"/>
    </row>
    <row r="49" spans="1:14" ht="15.75" x14ac:dyDescent="0.25">
      <c r="A49" s="45" t="s">
        <v>193</v>
      </c>
      <c r="B49" s="44"/>
      <c r="C49" s="44"/>
      <c r="D49" s="102">
        <f>D47+D33+D29+D23+D19+D11+D4</f>
        <v>49341.179999999993</v>
      </c>
      <c r="E49" s="61">
        <f>E47+E33+E29+E23+E19+E11+E4</f>
        <v>43900</v>
      </c>
      <c r="F49" s="137">
        <f>F47+F33+F29+F23+F19+F11+F4</f>
        <v>52894</v>
      </c>
      <c r="G49" s="44"/>
      <c r="H49" s="102">
        <f>H47+H33+H29+H23+H19+H11+H4</f>
        <v>72763.02</v>
      </c>
      <c r="I49" s="61">
        <f>I47+I33+I29+I23+I19+I11+I4</f>
        <v>57400</v>
      </c>
      <c r="J49" s="137">
        <f>J47+J33+J29+J23+J19+J11+J4</f>
        <v>72818</v>
      </c>
      <c r="M49" s="197">
        <f t="shared" ref="M49:N51" si="0">I49-E49</f>
        <v>13500</v>
      </c>
      <c r="N49" s="208">
        <f t="shared" si="0"/>
        <v>19924</v>
      </c>
    </row>
    <row r="50" spans="1:14" ht="15.75" x14ac:dyDescent="0.25">
      <c r="A50" s="19" t="s">
        <v>189</v>
      </c>
      <c r="B50" s="20"/>
      <c r="C50" s="20"/>
      <c r="D50" s="103"/>
      <c r="E50" s="20"/>
      <c r="F50" s="138"/>
      <c r="G50" s="20"/>
      <c r="H50" s="108">
        <f>H52+H53+H62+H54</f>
        <v>27702.18</v>
      </c>
      <c r="I50" s="62">
        <f>I52+I53+I62+I54</f>
        <v>29500</v>
      </c>
      <c r="J50" s="142">
        <f>J52+J53+J62+J54</f>
        <v>27702</v>
      </c>
      <c r="M50" s="197">
        <f t="shared" si="0"/>
        <v>29500</v>
      </c>
      <c r="N50" s="208">
        <f t="shared" si="0"/>
        <v>27702</v>
      </c>
    </row>
    <row r="51" spans="1:14" ht="15.75" x14ac:dyDescent="0.25">
      <c r="A51" s="41" t="s">
        <v>195</v>
      </c>
      <c r="B51" s="28"/>
      <c r="C51" s="28"/>
      <c r="D51" s="91">
        <f>SUM(D52:D60)</f>
        <v>29556.170000000002</v>
      </c>
      <c r="E51" s="58">
        <f>SUM(E52:E60)</f>
        <v>32500</v>
      </c>
      <c r="F51" s="131">
        <f>SUM(F52:F60)</f>
        <v>31826</v>
      </c>
      <c r="G51" s="47"/>
      <c r="H51" s="119"/>
      <c r="I51" s="46"/>
      <c r="J51" s="147"/>
      <c r="M51" s="197">
        <f t="shared" si="0"/>
        <v>-32500</v>
      </c>
      <c r="N51" s="208">
        <f t="shared" si="0"/>
        <v>-31826</v>
      </c>
    </row>
    <row r="52" spans="1:14" ht="15.75" customHeight="1" x14ac:dyDescent="0.25">
      <c r="C52" s="29" t="s">
        <v>83</v>
      </c>
      <c r="D52" s="92">
        <f>-'Import budget N N-1'!C83</f>
        <v>21379.39</v>
      </c>
      <c r="E52" s="94">
        <f>-'Import budget N N-1'!D83</f>
        <v>24700</v>
      </c>
      <c r="F52" s="132">
        <v>23330</v>
      </c>
      <c r="G52" s="47" t="s">
        <v>22</v>
      </c>
      <c r="H52" s="109">
        <f>'Import budget N N-1'!C17</f>
        <v>12500</v>
      </c>
      <c r="I52" s="47">
        <f>'Import budget N N-1'!D17</f>
        <v>12500</v>
      </c>
      <c r="J52" s="143">
        <f>'Import budget N N-1'!E17</f>
        <v>12500</v>
      </c>
    </row>
    <row r="53" spans="1:14" ht="15.75" customHeight="1" x14ac:dyDescent="0.25">
      <c r="C53" s="29" t="s">
        <v>84</v>
      </c>
      <c r="D53" s="92">
        <f>-'Import budget N N-1'!C84</f>
        <v>2400</v>
      </c>
      <c r="E53" s="94">
        <f>-'Import budget N N-1'!D84</f>
        <v>2400</v>
      </c>
      <c r="F53" s="132">
        <v>2400</v>
      </c>
      <c r="G53" s="47" t="s">
        <v>245</v>
      </c>
      <c r="H53" s="109">
        <f>'Import budget N N-1'!C18</f>
        <v>3800</v>
      </c>
      <c r="I53" s="47">
        <f>'Import budget N N-1'!D18</f>
        <v>4000</v>
      </c>
      <c r="J53" s="143">
        <v>3800</v>
      </c>
    </row>
    <row r="54" spans="1:14" ht="15.75" customHeight="1" x14ac:dyDescent="0.25">
      <c r="C54" s="29" t="s">
        <v>85</v>
      </c>
      <c r="D54" s="92">
        <f>-'Import budget N N-1'!C85</f>
        <v>2293.92</v>
      </c>
      <c r="E54" s="94">
        <f>-'Import budget N N-1'!D85</f>
        <v>1350</v>
      </c>
      <c r="F54" s="132">
        <v>2421</v>
      </c>
      <c r="G54" s="47" t="s">
        <v>24</v>
      </c>
      <c r="H54" s="109">
        <f>'Import budget N N-1'!C20</f>
        <v>500</v>
      </c>
      <c r="I54" s="47">
        <f>'Import budget N N-1'!D20</f>
        <v>1500</v>
      </c>
      <c r="J54" s="143">
        <v>500</v>
      </c>
    </row>
    <row r="55" spans="1:14" ht="15.75" customHeight="1" x14ac:dyDescent="0.25">
      <c r="C55" s="29" t="s">
        <v>86</v>
      </c>
      <c r="D55" s="92">
        <f>-'Import budget N N-1'!C86</f>
        <v>300.29000000000002</v>
      </c>
      <c r="E55" s="94">
        <f>-'Import budget N N-1'!D86</f>
        <v>325</v>
      </c>
      <c r="F55" s="132">
        <v>330</v>
      </c>
      <c r="G55" s="47"/>
      <c r="H55" s="109"/>
      <c r="I55" s="47"/>
      <c r="J55" s="143"/>
    </row>
    <row r="56" spans="1:14" ht="15.75" customHeight="1" x14ac:dyDescent="0.25">
      <c r="C56" s="29" t="s">
        <v>87</v>
      </c>
      <c r="D56" s="92">
        <f>-'Import budget N N-1'!C87</f>
        <v>490.44</v>
      </c>
      <c r="E56" s="94">
        <f>-'Import budget N N-1'!D87</f>
        <v>225</v>
      </c>
      <c r="F56" s="132">
        <v>515</v>
      </c>
      <c r="G56" s="47"/>
      <c r="H56" s="109"/>
      <c r="I56" s="47"/>
      <c r="J56" s="143"/>
    </row>
    <row r="57" spans="1:14" ht="15.75" customHeight="1" x14ac:dyDescent="0.25">
      <c r="C57" s="29" t="s">
        <v>69</v>
      </c>
      <c r="D57" s="92">
        <f>-'Import budget N N-1'!C68</f>
        <v>1010.9</v>
      </c>
      <c r="E57" s="94">
        <f>-'Import budget N N-1'!D68</f>
        <v>800</v>
      </c>
      <c r="F57" s="132">
        <v>1100</v>
      </c>
      <c r="G57" s="47"/>
      <c r="H57" s="109"/>
      <c r="I57" s="47"/>
      <c r="J57" s="143"/>
    </row>
    <row r="58" spans="1:14" ht="15.75" customHeight="1" x14ac:dyDescent="0.25">
      <c r="C58" s="29" t="s">
        <v>68</v>
      </c>
      <c r="D58" s="92">
        <f>-'Import budget N N-1'!C67</f>
        <v>793.5</v>
      </c>
      <c r="E58" s="94">
        <f>-'Import budget N N-1'!D67</f>
        <v>2100</v>
      </c>
      <c r="F58" s="132">
        <v>800</v>
      </c>
      <c r="G58" s="47"/>
      <c r="H58" s="109"/>
      <c r="I58" s="47"/>
      <c r="J58" s="143"/>
    </row>
    <row r="59" spans="1:14" ht="15.75" customHeight="1" x14ac:dyDescent="0.25">
      <c r="C59" s="29" t="s">
        <v>223</v>
      </c>
      <c r="D59" s="92">
        <f>-'Import budget N N-1'!C90</f>
        <v>470.4</v>
      </c>
      <c r="E59" s="94">
        <f>-'Import budget N N-1'!D90</f>
        <v>0</v>
      </c>
      <c r="F59" s="132">
        <v>480</v>
      </c>
      <c r="G59" s="47"/>
      <c r="H59" s="109"/>
      <c r="I59" s="47"/>
      <c r="J59" s="143"/>
    </row>
    <row r="60" spans="1:14" ht="15.75" customHeight="1" x14ac:dyDescent="0.25">
      <c r="C60" s="29" t="s">
        <v>81</v>
      </c>
      <c r="D60" s="92">
        <f>-'Import budget N N-1'!C80</f>
        <v>417.33</v>
      </c>
      <c r="E60" s="94">
        <f>-'Import budget N N-1'!D80</f>
        <v>600</v>
      </c>
      <c r="F60" s="132">
        <v>450</v>
      </c>
      <c r="G60" s="47"/>
      <c r="H60" s="109"/>
      <c r="I60" s="47"/>
      <c r="J60" s="143"/>
    </row>
    <row r="61" spans="1:14" ht="15.75" x14ac:dyDescent="0.25">
      <c r="A61" s="49" t="s">
        <v>194</v>
      </c>
      <c r="B61" s="50"/>
      <c r="C61" s="50"/>
      <c r="D61" s="104">
        <f>SUM(D62:D68)</f>
        <v>18556.870000000003</v>
      </c>
      <c r="E61" s="63">
        <f>SUM(E62:E68)</f>
        <v>19250</v>
      </c>
      <c r="F61" s="139">
        <f>SUM(F62:F68)</f>
        <v>18711</v>
      </c>
      <c r="G61" s="47"/>
      <c r="H61" s="109"/>
      <c r="I61" s="47"/>
      <c r="J61" s="143"/>
      <c r="M61" s="197">
        <f>I61-E61</f>
        <v>-19250</v>
      </c>
      <c r="N61" s="208">
        <f>J61-F61</f>
        <v>-18711</v>
      </c>
    </row>
    <row r="62" spans="1:14" x14ac:dyDescent="0.25">
      <c r="C62" s="48" t="s">
        <v>60</v>
      </c>
      <c r="D62" s="105">
        <f>-'Import budget N N-1'!C59</f>
        <v>10331.18</v>
      </c>
      <c r="E62" s="107">
        <f>-'Import budget N N-1'!D59</f>
        <v>10500</v>
      </c>
      <c r="F62" s="140">
        <v>10350</v>
      </c>
      <c r="G62" s="47" t="s">
        <v>23</v>
      </c>
      <c r="H62" s="109">
        <f>'Import budget N N-1'!C19</f>
        <v>10902.18</v>
      </c>
      <c r="I62" s="47">
        <f>'Import budget N N-1'!D19</f>
        <v>11500</v>
      </c>
      <c r="J62" s="143">
        <v>10902</v>
      </c>
    </row>
    <row r="63" spans="1:14" x14ac:dyDescent="0.25">
      <c r="C63" s="48" t="s">
        <v>31</v>
      </c>
      <c r="D63" s="105">
        <f>-'Import budget N N-1'!C28</f>
        <v>1079</v>
      </c>
      <c r="E63" s="107">
        <f>-'Import budget N N-1'!D28</f>
        <v>1000</v>
      </c>
      <c r="F63" s="140">
        <v>1079</v>
      </c>
      <c r="G63" s="47"/>
      <c r="H63" s="109"/>
      <c r="I63" s="47"/>
      <c r="J63" s="143"/>
    </row>
    <row r="64" spans="1:14" x14ac:dyDescent="0.25">
      <c r="C64" s="48" t="s">
        <v>65</v>
      </c>
      <c r="D64" s="105">
        <f>-'Import budget N N-1'!C64</f>
        <v>1047.04</v>
      </c>
      <c r="E64" s="107">
        <f>-'Import budget N N-1'!D64</f>
        <v>1000</v>
      </c>
      <c r="F64" s="140">
        <v>1050</v>
      </c>
      <c r="G64" s="47"/>
      <c r="H64" s="109"/>
      <c r="I64" s="47"/>
      <c r="J64" s="143"/>
    </row>
    <row r="65" spans="1:14" x14ac:dyDescent="0.25">
      <c r="C65" s="48" t="s">
        <v>47</v>
      </c>
      <c r="D65" s="105">
        <f>-'Import budget N N-1'!C46</f>
        <v>10.24</v>
      </c>
      <c r="E65" s="107">
        <f>-'Import budget N N-1'!D46</f>
        <v>250</v>
      </c>
      <c r="F65" s="140">
        <v>20</v>
      </c>
      <c r="G65" s="47"/>
      <c r="H65" s="109"/>
      <c r="I65" s="47"/>
      <c r="J65" s="143"/>
    </row>
    <row r="66" spans="1:14" x14ac:dyDescent="0.25">
      <c r="C66" s="48" t="s">
        <v>61</v>
      </c>
      <c r="D66" s="105">
        <f>-'Import budget N N-1'!C60</f>
        <v>3032.06</v>
      </c>
      <c r="E66" s="107">
        <f>-'Import budget N N-1'!D60</f>
        <v>3000</v>
      </c>
      <c r="F66" s="140">
        <v>3032</v>
      </c>
      <c r="G66" s="47"/>
      <c r="H66" s="109"/>
      <c r="I66" s="47"/>
      <c r="J66" s="143"/>
    </row>
    <row r="67" spans="1:14" x14ac:dyDescent="0.25">
      <c r="C67" s="48" t="s">
        <v>63</v>
      </c>
      <c r="D67" s="105">
        <f>-'Import budget N N-1'!C62</f>
        <v>1928.97</v>
      </c>
      <c r="E67" s="107">
        <f>-'Import budget N N-1'!D62</f>
        <v>2000</v>
      </c>
      <c r="F67" s="140">
        <v>1930</v>
      </c>
      <c r="G67" s="47"/>
      <c r="H67" s="109"/>
      <c r="I67" s="47"/>
      <c r="J67" s="143"/>
    </row>
    <row r="68" spans="1:14" x14ac:dyDescent="0.25">
      <c r="C68" s="48" t="s">
        <v>79</v>
      </c>
      <c r="D68" s="105">
        <f>-'Import budget N N-1'!C78</f>
        <v>1128.3800000000001</v>
      </c>
      <c r="E68" s="107">
        <f>-'Import budget N N-1'!D78</f>
        <v>1500</v>
      </c>
      <c r="F68" s="140">
        <v>1250</v>
      </c>
      <c r="G68" s="47"/>
      <c r="H68" s="109"/>
      <c r="I68" s="47"/>
      <c r="J68" s="143"/>
    </row>
    <row r="69" spans="1:14" ht="15.75" x14ac:dyDescent="0.25">
      <c r="A69" s="51" t="s">
        <v>190</v>
      </c>
      <c r="B69" s="35"/>
      <c r="C69" s="35"/>
      <c r="D69" s="35"/>
      <c r="E69" s="35"/>
      <c r="F69" s="141"/>
      <c r="G69" s="35"/>
      <c r="H69" s="95">
        <f>SUM(H72:H85)</f>
        <v>18937.3</v>
      </c>
      <c r="I69" s="59">
        <f>SUM(I72:I85)</f>
        <v>21100</v>
      </c>
      <c r="J69" s="133">
        <f>SUM(J72:J85)</f>
        <v>21400</v>
      </c>
      <c r="M69" s="197">
        <f>I69-E69</f>
        <v>21100</v>
      </c>
      <c r="N69" s="208">
        <f>J69-F69</f>
        <v>21400</v>
      </c>
    </row>
    <row r="70" spans="1:14" ht="15.75" x14ac:dyDescent="0.25">
      <c r="A70" s="35"/>
      <c r="B70" s="35"/>
      <c r="C70" s="35"/>
      <c r="D70" s="35"/>
      <c r="E70" s="35"/>
      <c r="F70" s="194"/>
      <c r="G70" s="53"/>
      <c r="H70" s="195"/>
      <c r="I70" s="198"/>
      <c r="J70" s="134"/>
    </row>
    <row r="71" spans="1:14" ht="15.75" x14ac:dyDescent="0.25">
      <c r="A71" s="19" t="s">
        <v>196</v>
      </c>
      <c r="B71" s="20"/>
      <c r="C71" s="20"/>
      <c r="D71" s="108">
        <f>SUM(D72:D86)</f>
        <v>8314.33</v>
      </c>
      <c r="E71" s="62">
        <f>SUM(E72:E86)</f>
        <v>9650</v>
      </c>
      <c r="F71" s="142">
        <f>SUM(F72:F86)</f>
        <v>8895</v>
      </c>
      <c r="G71" s="53"/>
      <c r="H71" s="120"/>
      <c r="I71" s="52"/>
      <c r="J71" s="148"/>
      <c r="M71" s="197">
        <f>I71-E71</f>
        <v>-9650</v>
      </c>
      <c r="N71" s="208">
        <f>J71-F71</f>
        <v>-8895</v>
      </c>
    </row>
    <row r="72" spans="1:14" x14ac:dyDescent="0.25">
      <c r="C72" s="54" t="s">
        <v>48</v>
      </c>
      <c r="D72" s="109">
        <f>-'Import budget N N-1'!C47</f>
        <v>438.69</v>
      </c>
      <c r="E72" s="47">
        <f>-'Import budget N N-1'!D47</f>
        <v>650</v>
      </c>
      <c r="F72" s="143">
        <v>500</v>
      </c>
      <c r="G72" s="36" t="s">
        <v>27</v>
      </c>
      <c r="H72" s="96">
        <f>'Import budget N N-1'!C23</f>
        <v>25193.3</v>
      </c>
      <c r="I72" s="53">
        <f>'Import budget N N-1'!D23</f>
        <v>19100</v>
      </c>
      <c r="J72" s="134">
        <v>25200</v>
      </c>
    </row>
    <row r="73" spans="1:14" x14ac:dyDescent="0.25">
      <c r="C73" s="54"/>
      <c r="D73" s="109"/>
      <c r="E73" s="47"/>
      <c r="F73" s="143"/>
      <c r="G73" s="36" t="s">
        <v>21</v>
      </c>
      <c r="H73" s="96">
        <f>'Import budget N N-1'!C16</f>
        <v>-6256</v>
      </c>
      <c r="I73" s="53">
        <f>'Import budget N N-1'!D16</f>
        <v>0</v>
      </c>
      <c r="J73" s="134">
        <v>-6300</v>
      </c>
    </row>
    <row r="74" spans="1:14" x14ac:dyDescent="0.25">
      <c r="C74" s="54" t="s">
        <v>55</v>
      </c>
      <c r="D74" s="109">
        <f>-'Import budget N N-1'!C54</f>
        <v>473.4</v>
      </c>
      <c r="E74" s="47">
        <f>-'Import budget N N-1'!D54</f>
        <v>460</v>
      </c>
      <c r="F74" s="143">
        <v>475</v>
      </c>
      <c r="G74" s="36"/>
      <c r="H74" s="96"/>
      <c r="I74" s="53"/>
      <c r="J74" s="134"/>
    </row>
    <row r="75" spans="1:14" x14ac:dyDescent="0.25">
      <c r="C75" s="54" t="s">
        <v>56</v>
      </c>
      <c r="D75" s="109">
        <f>-'Import budget N N-1'!C55</f>
        <v>1711</v>
      </c>
      <c r="E75" s="47">
        <f>-'Import budget N N-1'!D55</f>
        <v>1150</v>
      </c>
      <c r="F75" s="143">
        <v>1710</v>
      </c>
      <c r="G75" s="36"/>
      <c r="H75" s="96"/>
      <c r="I75" s="53"/>
      <c r="J75" s="134"/>
    </row>
    <row r="76" spans="1:14" x14ac:dyDescent="0.25">
      <c r="C76" s="54" t="s">
        <v>70</v>
      </c>
      <c r="D76" s="109">
        <f>-'Import budget N N-1'!C69</f>
        <v>2398.06</v>
      </c>
      <c r="E76" s="47">
        <f>-'Import budget N N-1'!D69</f>
        <v>2200</v>
      </c>
      <c r="F76" s="143">
        <v>2600</v>
      </c>
      <c r="G76" s="36"/>
      <c r="H76" s="96"/>
      <c r="I76" s="53"/>
      <c r="J76" s="134"/>
    </row>
    <row r="77" spans="1:14" x14ac:dyDescent="0.25">
      <c r="C77" s="54" t="s">
        <v>67</v>
      </c>
      <c r="D77" s="109">
        <f>-'Import budget N N-1'!C66</f>
        <v>810</v>
      </c>
      <c r="E77" s="47">
        <f>-'Import budget N N-1'!D66</f>
        <v>800</v>
      </c>
      <c r="F77" s="143">
        <v>810</v>
      </c>
      <c r="G77" s="36"/>
      <c r="H77" s="96"/>
      <c r="I77" s="53"/>
      <c r="J77" s="134"/>
    </row>
    <row r="78" spans="1:14" x14ac:dyDescent="0.25">
      <c r="C78" s="54" t="s">
        <v>72</v>
      </c>
      <c r="D78" s="109">
        <f>-'Import budget N N-1'!C71</f>
        <v>150</v>
      </c>
      <c r="E78" s="47">
        <f>-'Import budget N N-1'!D71</f>
        <v>350</v>
      </c>
      <c r="F78" s="143">
        <v>250</v>
      </c>
      <c r="G78" s="36"/>
      <c r="H78" s="96"/>
      <c r="I78" s="53"/>
      <c r="J78" s="134"/>
    </row>
    <row r="79" spans="1:14" x14ac:dyDescent="0.25">
      <c r="C79" s="54" t="s">
        <v>74</v>
      </c>
      <c r="D79" s="109">
        <f>-'Import budget N N-1'!C73</f>
        <v>0</v>
      </c>
      <c r="E79" s="47">
        <f>-'Import budget N N-1'!D73</f>
        <v>500</v>
      </c>
      <c r="F79" s="143">
        <v>0</v>
      </c>
      <c r="G79" s="36"/>
      <c r="H79" s="96"/>
      <c r="I79" s="53"/>
      <c r="J79" s="134"/>
    </row>
    <row r="80" spans="1:14" x14ac:dyDescent="0.25">
      <c r="C80" s="54" t="s">
        <v>75</v>
      </c>
      <c r="D80" s="109">
        <f>-'Import budget N N-1'!C74</f>
        <v>1230</v>
      </c>
      <c r="E80" s="47">
        <f>-'Import budget N N-1'!D74</f>
        <v>2000</v>
      </c>
      <c r="F80" s="143">
        <v>1250</v>
      </c>
      <c r="G80" s="36"/>
      <c r="H80" s="96"/>
      <c r="I80" s="53"/>
      <c r="J80" s="134"/>
    </row>
    <row r="81" spans="1:14" x14ac:dyDescent="0.25">
      <c r="C81" s="54" t="s">
        <v>76</v>
      </c>
      <c r="D81" s="109">
        <f>-'Import budget N N-1'!C75</f>
        <v>0</v>
      </c>
      <c r="E81" s="47">
        <f>-'Import budget N N-1'!D75</f>
        <v>150</v>
      </c>
      <c r="F81" s="143">
        <v>100</v>
      </c>
      <c r="G81" s="36"/>
      <c r="H81" s="96"/>
      <c r="I81" s="53"/>
      <c r="J81" s="134"/>
    </row>
    <row r="82" spans="1:14" x14ac:dyDescent="0.25">
      <c r="C82" s="54" t="s">
        <v>77</v>
      </c>
      <c r="D82" s="109">
        <f>-'Import budget N N-1'!C76</f>
        <v>466.6</v>
      </c>
      <c r="E82" s="47">
        <f>-'Import budget N N-1'!D76</f>
        <v>500</v>
      </c>
      <c r="F82" s="143">
        <v>500</v>
      </c>
      <c r="G82" s="36"/>
      <c r="H82" s="96"/>
      <c r="I82" s="53"/>
      <c r="J82" s="134"/>
    </row>
    <row r="83" spans="1:14" x14ac:dyDescent="0.25">
      <c r="C83" s="54" t="s">
        <v>78</v>
      </c>
      <c r="D83" s="109">
        <f>-'Import budget N N-1'!C77</f>
        <v>134.51</v>
      </c>
      <c r="E83" s="47">
        <f>-'Import budget N N-1'!D77</f>
        <v>300</v>
      </c>
      <c r="F83" s="143">
        <v>150</v>
      </c>
      <c r="G83" s="36"/>
      <c r="H83" s="96"/>
      <c r="I83" s="53"/>
      <c r="J83" s="134"/>
    </row>
    <row r="84" spans="1:14" x14ac:dyDescent="0.25">
      <c r="C84" s="54" t="s">
        <v>80</v>
      </c>
      <c r="D84" s="109">
        <f>-'Import budget N N-1'!C79</f>
        <v>502.07</v>
      </c>
      <c r="E84" s="47">
        <f>-'Import budget N N-1'!D79</f>
        <v>550</v>
      </c>
      <c r="F84" s="143">
        <v>550</v>
      </c>
      <c r="G84" s="36" t="s">
        <v>29</v>
      </c>
      <c r="H84" s="96">
        <f>'Import budget N N-1'!C26</f>
        <v>0</v>
      </c>
      <c r="I84" s="53">
        <f>'Import budget N N-1'!D26</f>
        <v>0</v>
      </c>
      <c r="J84" s="134">
        <v>0</v>
      </c>
    </row>
    <row r="85" spans="1:14" x14ac:dyDescent="0.25">
      <c r="C85" s="55" t="s">
        <v>177</v>
      </c>
      <c r="D85" s="109">
        <f>-'Import budget N N-1'!C81</f>
        <v>0</v>
      </c>
      <c r="E85" s="47">
        <f>-'Import budget N N-1'!D81</f>
        <v>40</v>
      </c>
      <c r="F85" s="143">
        <f>-'Import budget N N-1'!E81</f>
        <v>0</v>
      </c>
      <c r="G85" s="36" t="s">
        <v>117</v>
      </c>
      <c r="H85" s="96">
        <f>'Import budget N N-1'!C24</f>
        <v>0</v>
      </c>
      <c r="I85" s="53">
        <f>'Import budget N N-1'!D24</f>
        <v>2000</v>
      </c>
      <c r="J85" s="134">
        <v>2500</v>
      </c>
    </row>
    <row r="86" spans="1:14" x14ac:dyDescent="0.25">
      <c r="C86" s="54" t="s">
        <v>82</v>
      </c>
      <c r="D86" s="109">
        <f>-'Import budget N N-1'!C82</f>
        <v>0</v>
      </c>
      <c r="E86" s="47">
        <f>-'Import budget N N-1'!D82</f>
        <v>0</v>
      </c>
      <c r="F86" s="143">
        <f>-'Import budget N N-1'!E82</f>
        <v>0</v>
      </c>
      <c r="G86" s="36"/>
      <c r="H86" s="96"/>
      <c r="I86" s="53"/>
      <c r="J86" s="134"/>
    </row>
    <row r="87" spans="1:14" ht="19.5" customHeight="1" x14ac:dyDescent="0.25">
      <c r="A87" s="41" t="s">
        <v>191</v>
      </c>
      <c r="B87" s="28"/>
      <c r="C87" s="28"/>
      <c r="D87" s="91">
        <f>H87</f>
        <v>40672</v>
      </c>
      <c r="E87" s="58">
        <f>I87</f>
        <v>40000</v>
      </c>
      <c r="F87" s="131">
        <f>J87</f>
        <v>40500</v>
      </c>
      <c r="G87" s="28"/>
      <c r="H87" s="91">
        <f>H88+H89</f>
        <v>40672</v>
      </c>
      <c r="I87" s="58">
        <f>I88+I89</f>
        <v>40000</v>
      </c>
      <c r="J87" s="131">
        <f>J88+J89</f>
        <v>40500</v>
      </c>
    </row>
    <row r="88" spans="1:14" ht="19.5" customHeight="1" x14ac:dyDescent="0.25">
      <c r="A88" s="29"/>
      <c r="B88" s="29"/>
      <c r="C88" s="29" t="s">
        <v>66</v>
      </c>
      <c r="D88" s="92">
        <f>-'Import budget N N-1'!C65</f>
        <v>23571</v>
      </c>
      <c r="E88" s="94">
        <f>-'Import budget N N-1'!D65</f>
        <v>24700</v>
      </c>
      <c r="F88" s="132">
        <v>24800</v>
      </c>
      <c r="G88" s="29" t="s">
        <v>25</v>
      </c>
      <c r="H88" s="92">
        <f>'Import budget N N-1'!C21</f>
        <v>25028</v>
      </c>
      <c r="I88" s="94">
        <f>'Import budget N N-1'!D21</f>
        <v>23000</v>
      </c>
      <c r="J88" s="132">
        <v>24800</v>
      </c>
    </row>
    <row r="89" spans="1:14" ht="19.5" customHeight="1" x14ac:dyDescent="0.25">
      <c r="A89" s="29"/>
      <c r="B89" s="29"/>
      <c r="C89" s="29" t="s">
        <v>59</v>
      </c>
      <c r="D89" s="92">
        <f>-'Import budget N N-1'!C57</f>
        <v>15644</v>
      </c>
      <c r="E89" s="94">
        <f>-'Import budget N N-1'!D57</f>
        <v>17000</v>
      </c>
      <c r="F89" s="132">
        <v>15700</v>
      </c>
      <c r="G89" s="29" t="s">
        <v>15</v>
      </c>
      <c r="H89" s="92">
        <f>'Import budget N N-1'!C11</f>
        <v>15644</v>
      </c>
      <c r="I89" s="94">
        <f>'Import budget N N-1'!D11</f>
        <v>17000</v>
      </c>
      <c r="J89" s="132">
        <v>15700</v>
      </c>
    </row>
    <row r="90" spans="1:14" ht="19.5" customHeight="1" x14ac:dyDescent="0.25">
      <c r="A90" s="29"/>
      <c r="B90" s="29"/>
      <c r="C90" s="29"/>
      <c r="D90" s="92"/>
      <c r="E90" s="94"/>
      <c r="F90" s="132"/>
      <c r="G90" s="29"/>
      <c r="H90" s="92"/>
      <c r="I90" s="94"/>
      <c r="J90" s="132"/>
    </row>
    <row r="91" spans="1:14" ht="19.5" customHeight="1" x14ac:dyDescent="0.25">
      <c r="A91" s="19" t="s">
        <v>200</v>
      </c>
      <c r="B91" s="20"/>
      <c r="C91" s="20"/>
      <c r="D91" s="108">
        <f>SUM(D92:D95)</f>
        <v>8071.44</v>
      </c>
      <c r="E91" s="62">
        <f>SUM(E92:E95)</f>
        <v>7400</v>
      </c>
      <c r="F91" s="142">
        <f>SUM(F92:F95)</f>
        <v>8080</v>
      </c>
      <c r="G91" s="20"/>
      <c r="H91" s="108">
        <f>SUM(H92:H95)</f>
        <v>0</v>
      </c>
      <c r="I91" s="62">
        <f>SUM(I92:I95)</f>
        <v>0</v>
      </c>
      <c r="J91" s="142">
        <f>SUM(J92:J95)</f>
        <v>0</v>
      </c>
      <c r="M91" s="197">
        <f>I91-E91</f>
        <v>-7400</v>
      </c>
      <c r="N91" s="208">
        <f>J91-F91</f>
        <v>-8080</v>
      </c>
    </row>
    <row r="92" spans="1:14" ht="19.5" customHeight="1" x14ac:dyDescent="0.25">
      <c r="C92" s="54" t="s">
        <v>88</v>
      </c>
      <c r="D92" s="109">
        <f>-'Import budget N N-1'!C88</f>
        <v>0.06</v>
      </c>
      <c r="E92" s="47">
        <f>-'Import budget N N-1'!D88</f>
        <v>0</v>
      </c>
      <c r="F92" s="143">
        <v>0</v>
      </c>
      <c r="G92" s="54"/>
      <c r="H92" s="109"/>
      <c r="I92" s="47"/>
      <c r="J92" s="143"/>
    </row>
    <row r="93" spans="1:14" ht="19.5" customHeight="1" x14ac:dyDescent="0.25">
      <c r="C93" s="54" t="s">
        <v>234</v>
      </c>
      <c r="D93" s="109">
        <f>-'Import budget N N-1'!C93</f>
        <v>-8.0299999999999994</v>
      </c>
      <c r="E93" s="47">
        <f>-'Import budget N N-1'!D93</f>
        <v>0</v>
      </c>
      <c r="F93" s="143">
        <f>-'Import budget N N-1'!E93</f>
        <v>0</v>
      </c>
      <c r="G93" s="54"/>
      <c r="H93" s="109"/>
      <c r="I93" s="47"/>
      <c r="J93" s="143"/>
    </row>
    <row r="94" spans="1:14" ht="19.5" customHeight="1" x14ac:dyDescent="0.25">
      <c r="C94" s="54" t="s">
        <v>244</v>
      </c>
      <c r="D94" s="109">
        <f>-'Import budget N N-1'!C98</f>
        <v>15</v>
      </c>
      <c r="E94" s="47">
        <f>-'Import budget N N-1'!D98</f>
        <v>0</v>
      </c>
      <c r="F94" s="143">
        <v>15</v>
      </c>
      <c r="G94" s="54"/>
      <c r="H94" s="109"/>
      <c r="I94" s="47"/>
      <c r="J94" s="143"/>
    </row>
    <row r="95" spans="1:14" ht="19.5" customHeight="1" x14ac:dyDescent="0.25">
      <c r="C95" s="54" t="s">
        <v>89</v>
      </c>
      <c r="D95" s="109">
        <f>-'Import budget N N-1'!C89</f>
        <v>8064.41</v>
      </c>
      <c r="E95" s="47">
        <f>-'Import budget N N-1'!D89</f>
        <v>7400</v>
      </c>
      <c r="F95" s="143">
        <v>8065</v>
      </c>
      <c r="G95" s="54" t="s">
        <v>28</v>
      </c>
      <c r="H95" s="109">
        <f>'Import budget N N-1'!C25</f>
        <v>0</v>
      </c>
      <c r="I95" s="47">
        <f>'Import budget N N-1'!D25</f>
        <v>0</v>
      </c>
      <c r="J95" s="143">
        <v>0</v>
      </c>
    </row>
    <row r="96" spans="1:14" ht="19.5" customHeight="1" x14ac:dyDescent="0.25">
      <c r="D96" s="110"/>
      <c r="E96" s="111"/>
      <c r="F96" s="144"/>
      <c r="H96" s="110"/>
      <c r="I96" s="111"/>
      <c r="J96" s="144"/>
    </row>
    <row r="97" spans="1:10" ht="16.5" thickBot="1" x14ac:dyDescent="0.3">
      <c r="A97" s="42" t="s">
        <v>192</v>
      </c>
      <c r="B97" s="43"/>
      <c r="C97" s="43"/>
      <c r="D97" s="112">
        <f>D91+D71+D88+D89+D61+D51+D49</f>
        <v>153054.99</v>
      </c>
      <c r="E97" s="114">
        <f>E91+E71+E88+E89+E61+E51+E49</f>
        <v>154400</v>
      </c>
      <c r="F97" s="145">
        <f>F91+F71+F88+F89+F61+F51+F49</f>
        <v>160906</v>
      </c>
      <c r="G97" s="43"/>
      <c r="H97" s="115">
        <f>H91+H87+H69+H50+H49</f>
        <v>160074.5</v>
      </c>
      <c r="I97" s="117">
        <f>I91+I87+I69+I50+I49</f>
        <v>148000</v>
      </c>
      <c r="J97" s="146">
        <f>J91+J87+J69+J50+J49</f>
        <v>162420</v>
      </c>
    </row>
    <row r="98" spans="1:10" ht="17.25" thickTop="1" thickBot="1" x14ac:dyDescent="0.3">
      <c r="A98" s="42" t="s">
        <v>197</v>
      </c>
      <c r="B98" s="43"/>
      <c r="C98" s="43"/>
      <c r="D98" s="115">
        <f>H97-D97</f>
        <v>7019.5100000000093</v>
      </c>
      <c r="E98" s="117">
        <f>I97-E97</f>
        <v>-6400</v>
      </c>
      <c r="F98" s="146">
        <f>J97-F97</f>
        <v>1514</v>
      </c>
    </row>
    <row r="99" spans="1:10" ht="15.75" thickTop="1" x14ac:dyDescent="0.25"/>
    <row r="106" spans="1:10" x14ac:dyDescent="0.25">
      <c r="A106" s="150" t="s">
        <v>226</v>
      </c>
      <c r="D106" s="150">
        <f>D87-(D88+D89)</f>
        <v>1457</v>
      </c>
    </row>
  </sheetData>
  <mergeCells count="2">
    <mergeCell ref="D2:F2"/>
    <mergeCell ref="H2:J2"/>
  </mergeCells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5"/>
  <sheetViews>
    <sheetView workbookViewId="0">
      <selection activeCell="C15" sqref="C15"/>
    </sheetView>
  </sheetViews>
  <sheetFormatPr baseColWidth="10" defaultRowHeight="15" x14ac:dyDescent="0.25"/>
  <cols>
    <col min="1" max="1" width="33.85546875" bestFit="1" customWidth="1"/>
    <col min="2" max="2" width="28.28515625" bestFit="1" customWidth="1"/>
    <col min="3" max="3" width="27.85546875" customWidth="1"/>
    <col min="7" max="7" width="15.85546875" customWidth="1"/>
  </cols>
  <sheetData>
    <row r="1" spans="1:7" s="150" customFormat="1" ht="15.75" thickBot="1" x14ac:dyDescent="0.3">
      <c r="B1" s="150" t="s">
        <v>203</v>
      </c>
    </row>
    <row r="2" spans="1:7" s="150" customFormat="1" x14ac:dyDescent="0.25">
      <c r="C2" s="217" t="s">
        <v>204</v>
      </c>
      <c r="D2" s="219" t="s">
        <v>205</v>
      </c>
      <c r="E2" s="219" t="s">
        <v>206</v>
      </c>
      <c r="F2" s="219" t="s">
        <v>207</v>
      </c>
      <c r="G2" s="212" t="s">
        <v>208</v>
      </c>
    </row>
    <row r="3" spans="1:7" s="150" customFormat="1" ht="15.75" thickBot="1" x14ac:dyDescent="0.3">
      <c r="C3" s="218"/>
      <c r="D3" s="220"/>
      <c r="E3" s="220"/>
      <c r="F3" s="220"/>
      <c r="G3" s="213"/>
    </row>
    <row r="4" spans="1:7" s="150" customFormat="1" ht="15" customHeight="1" x14ac:dyDescent="0.25">
      <c r="B4" s="163" t="s">
        <v>209</v>
      </c>
      <c r="C4" s="155">
        <f>D4+E4+F4+G4</f>
        <v>37</v>
      </c>
      <c r="D4" s="164">
        <f>2+1+2+2+1+2+1+1+1+1+1+2+2+1+2+1+2+1</f>
        <v>26</v>
      </c>
      <c r="E4" s="164">
        <v>7</v>
      </c>
      <c r="F4" s="164">
        <v>1</v>
      </c>
      <c r="G4" s="165">
        <v>3</v>
      </c>
    </row>
    <row r="5" spans="1:7" s="18" customFormat="1" x14ac:dyDescent="0.25">
      <c r="A5" s="150"/>
      <c r="B5" s="154" t="s">
        <v>201</v>
      </c>
      <c r="C5" s="155">
        <f>D5+E5+F5+G5</f>
        <v>46</v>
      </c>
      <c r="D5" s="155">
        <v>38</v>
      </c>
      <c r="E5" s="155">
        <v>4</v>
      </c>
      <c r="F5" s="155">
        <v>1</v>
      </c>
      <c r="G5" s="156">
        <v>3</v>
      </c>
    </row>
    <row r="6" spans="1:7" s="18" customFormat="1" x14ac:dyDescent="0.25">
      <c r="A6" s="150"/>
      <c r="B6" s="157" t="s">
        <v>215</v>
      </c>
      <c r="C6" s="155">
        <f t="shared" ref="C6:C7" si="0">D6+E6+F6+G6</f>
        <v>34</v>
      </c>
      <c r="D6" s="151">
        <v>26</v>
      </c>
      <c r="E6" s="151">
        <v>4</v>
      </c>
      <c r="F6" s="151">
        <v>1</v>
      </c>
      <c r="G6" s="152">
        <v>3</v>
      </c>
    </row>
    <row r="7" spans="1:7" s="18" customFormat="1" x14ac:dyDescent="0.25">
      <c r="A7" s="150"/>
      <c r="B7" s="153" t="s">
        <v>202</v>
      </c>
      <c r="C7" s="155">
        <f t="shared" si="0"/>
        <v>17</v>
      </c>
      <c r="D7" s="161">
        <v>0</v>
      </c>
      <c r="E7" s="161">
        <v>16</v>
      </c>
      <c r="F7" s="161">
        <v>1</v>
      </c>
      <c r="G7" s="162">
        <v>0</v>
      </c>
    </row>
    <row r="8" spans="1:7" s="18" customFormat="1" ht="15.75" thickBot="1" x14ac:dyDescent="0.3">
      <c r="A8" s="150"/>
      <c r="B8" s="158"/>
      <c r="C8" s="159"/>
      <c r="D8" s="159"/>
      <c r="E8" s="159"/>
      <c r="F8" s="159"/>
      <c r="G8" s="160"/>
    </row>
    <row r="9" spans="1:7" s="150" customFormat="1" ht="15.75" thickBot="1" x14ac:dyDescent="0.3">
      <c r="B9" s="167"/>
      <c r="C9" s="168"/>
      <c r="D9" s="168"/>
      <c r="E9" s="168"/>
      <c r="F9" s="168"/>
      <c r="G9" s="168"/>
    </row>
    <row r="10" spans="1:7" s="18" customFormat="1" ht="15.75" thickBot="1" x14ac:dyDescent="0.3">
      <c r="B10" s="170" t="s">
        <v>219</v>
      </c>
      <c r="C10" s="169">
        <f>SUM(D10:G10)</f>
        <v>12700</v>
      </c>
      <c r="D10" s="187">
        <f>SUM(D11:D15)</f>
        <v>8105.3093246699382</v>
      </c>
      <c r="E10" s="187">
        <f t="shared" ref="E10:G10" si="1">SUM(E11:E15)</f>
        <v>3415.668072164236</v>
      </c>
      <c r="F10" s="187">
        <f t="shared" si="1"/>
        <v>401.52035667380932</v>
      </c>
      <c r="G10" s="188">
        <f t="shared" si="1"/>
        <v>777.5022464920163</v>
      </c>
    </row>
    <row r="11" spans="1:7" s="18" customFormat="1" x14ac:dyDescent="0.25">
      <c r="B11" s="189" t="s">
        <v>210</v>
      </c>
      <c r="C11" s="187">
        <f>F53+F57+0.4*F63</f>
        <v>5240</v>
      </c>
      <c r="D11" s="187">
        <f>D5/$C5*$C11</f>
        <v>4328.695652173913</v>
      </c>
      <c r="E11" s="187">
        <f t="shared" ref="E11:G11" si="2">E5/$C5*$C11</f>
        <v>455.65217391304344</v>
      </c>
      <c r="F11" s="187">
        <f t="shared" si="2"/>
        <v>113.91304347826086</v>
      </c>
      <c r="G11" s="188">
        <f t="shared" si="2"/>
        <v>341.73913043478262</v>
      </c>
    </row>
    <row r="12" spans="1:7" s="18" customFormat="1" x14ac:dyDescent="0.25">
      <c r="B12" s="190" t="s">
        <v>211</v>
      </c>
      <c r="C12" s="191">
        <f>F54+F61+0.4*F63</f>
        <v>3790</v>
      </c>
      <c r="D12" s="191">
        <f t="shared" ref="D12:G12" si="3">D6/$C6*$C12</f>
        <v>2898.2352941176468</v>
      </c>
      <c r="E12" s="191">
        <f t="shared" si="3"/>
        <v>445.88235294117646</v>
      </c>
      <c r="F12" s="191">
        <f t="shared" si="3"/>
        <v>111.47058823529412</v>
      </c>
      <c r="G12" s="174">
        <f t="shared" si="3"/>
        <v>334.41176470588238</v>
      </c>
    </row>
    <row r="13" spans="1:7" s="18" customFormat="1" x14ac:dyDescent="0.25">
      <c r="B13" s="190" t="s">
        <v>212</v>
      </c>
      <c r="C13" s="191">
        <f>F55+F59+0.2*F63</f>
        <v>2420</v>
      </c>
      <c r="D13" s="191">
        <f t="shared" ref="D13:G13" si="4">D7/$C7*$C13</f>
        <v>0</v>
      </c>
      <c r="E13" s="191">
        <f t="shared" si="4"/>
        <v>2277.6470588235293</v>
      </c>
      <c r="F13" s="191">
        <f t="shared" si="4"/>
        <v>142.35294117647058</v>
      </c>
      <c r="G13" s="174">
        <f t="shared" si="4"/>
        <v>0</v>
      </c>
    </row>
    <row r="14" spans="1:7" s="18" customFormat="1" x14ac:dyDescent="0.25">
      <c r="A14" s="186">
        <f>2/22</f>
        <v>9.0909090909090912E-2</v>
      </c>
      <c r="B14" s="190" t="s">
        <v>213</v>
      </c>
      <c r="C14" s="191">
        <v>0</v>
      </c>
      <c r="D14" s="191">
        <f>$C$14*D4/$C4</f>
        <v>0</v>
      </c>
      <c r="E14" s="191">
        <f t="shared" ref="E14:G14" si="5">$C$14*E4/$C4</f>
        <v>0</v>
      </c>
      <c r="F14" s="191">
        <f t="shared" si="5"/>
        <v>0</v>
      </c>
      <c r="G14" s="174">
        <f t="shared" si="5"/>
        <v>0</v>
      </c>
    </row>
    <row r="15" spans="1:7" s="18" customFormat="1" ht="15.75" thickBot="1" x14ac:dyDescent="0.3">
      <c r="B15" s="192" t="s">
        <v>214</v>
      </c>
      <c r="C15" s="193">
        <f>F52-(C11+C12+C13)</f>
        <v>1250</v>
      </c>
      <c r="D15" s="193">
        <f>D4/$C4*$C15</f>
        <v>878.37837837837844</v>
      </c>
      <c r="E15" s="193">
        <f t="shared" ref="E15:G15" si="6">E4/$C4*$C15</f>
        <v>236.48648648648651</v>
      </c>
      <c r="F15" s="193">
        <f t="shared" si="6"/>
        <v>33.783783783783782</v>
      </c>
      <c r="G15" s="177">
        <f t="shared" si="6"/>
        <v>101.35135135135135</v>
      </c>
    </row>
    <row r="16" spans="1:7" s="150" customFormat="1" ht="15.75" thickBot="1" x14ac:dyDescent="0.3">
      <c r="B16" s="166"/>
    </row>
    <row r="17" spans="1:10" s="18" customFormat="1" ht="15.75" thickBot="1" x14ac:dyDescent="0.3">
      <c r="A17" s="182" t="s">
        <v>220</v>
      </c>
      <c r="B17" s="178"/>
      <c r="C17" s="179" t="s">
        <v>216</v>
      </c>
      <c r="D17" s="214" t="s">
        <v>221</v>
      </c>
      <c r="E17" s="215"/>
      <c r="F17" s="216"/>
    </row>
    <row r="18" spans="1:10" s="150" customFormat="1" x14ac:dyDescent="0.25">
      <c r="A18" s="180" t="s">
        <v>217</v>
      </c>
      <c r="B18" s="166" t="s">
        <v>210</v>
      </c>
      <c r="C18" s="174">
        <f>C11/C5</f>
        <v>113.91304347826087</v>
      </c>
      <c r="D18" s="170"/>
      <c r="E18" s="171"/>
      <c r="F18" s="172"/>
    </row>
    <row r="19" spans="1:10" s="150" customFormat="1" x14ac:dyDescent="0.25">
      <c r="A19" s="180" t="s">
        <v>217</v>
      </c>
      <c r="B19" s="166" t="s">
        <v>211</v>
      </c>
      <c r="C19" s="174">
        <f>C12/C6</f>
        <v>111.47058823529412</v>
      </c>
      <c r="D19" s="173"/>
      <c r="E19" s="168"/>
      <c r="F19" s="183"/>
    </row>
    <row r="20" spans="1:10" s="150" customFormat="1" x14ac:dyDescent="0.25">
      <c r="A20" s="180" t="s">
        <v>217</v>
      </c>
      <c r="B20" s="166" t="s">
        <v>212</v>
      </c>
      <c r="C20" s="174">
        <f>C13/C7</f>
        <v>142.35294117647058</v>
      </c>
      <c r="D20" s="173"/>
      <c r="E20" s="168"/>
      <c r="F20" s="183"/>
    </row>
    <row r="21" spans="1:10" s="150" customFormat="1" x14ac:dyDescent="0.25">
      <c r="A21" s="180" t="s">
        <v>218</v>
      </c>
      <c r="B21" s="166" t="s">
        <v>213</v>
      </c>
      <c r="C21" s="174">
        <f>C14/C4</f>
        <v>0</v>
      </c>
      <c r="D21" s="173"/>
      <c r="E21" s="168"/>
      <c r="F21" s="183"/>
    </row>
    <row r="22" spans="1:10" s="150" customFormat="1" ht="15.75" thickBot="1" x14ac:dyDescent="0.3">
      <c r="A22" s="181" t="s">
        <v>218</v>
      </c>
      <c r="B22" s="176" t="s">
        <v>214</v>
      </c>
      <c r="C22" s="177">
        <f>C15/C4</f>
        <v>33.783783783783782</v>
      </c>
      <c r="D22" s="175"/>
      <c r="E22" s="184"/>
      <c r="F22" s="185"/>
    </row>
    <row r="23" spans="1:10" s="150" customFormat="1" x14ac:dyDescent="0.25">
      <c r="B23" s="166"/>
    </row>
    <row r="24" spans="1:10" s="18" customFormat="1" x14ac:dyDescent="0.25"/>
    <row r="25" spans="1:10" hidden="1" x14ac:dyDescent="0.25">
      <c r="D25" t="str">
        <f>'Presentation budget'!D2</f>
        <v>Dépenses</v>
      </c>
      <c r="H25" t="str">
        <f>'Presentation budget'!I2</f>
        <v>Recettes</v>
      </c>
    </row>
    <row r="26" spans="1:10" hidden="1" x14ac:dyDescent="0.25">
      <c r="D26" t="str">
        <f>'Presentation budget'!D3</f>
        <v>Encours</v>
      </c>
      <c r="F26" t="str">
        <f>'Presentation budget'!F3</f>
        <v>Budget 2025</v>
      </c>
      <c r="H26" t="str">
        <f>'Presentation budget'!I3</f>
        <v>Encours</v>
      </c>
      <c r="J26" t="str">
        <f>'Presentation budget'!K3</f>
        <v>Budget 2025</v>
      </c>
    </row>
    <row r="27" spans="1:10" hidden="1" x14ac:dyDescent="0.25">
      <c r="A27" t="str">
        <f>'Presentation budget'!A4</f>
        <v>Commission animation</v>
      </c>
      <c r="D27">
        <f>'Presentation budget'!D4</f>
        <v>3673.5600000000004</v>
      </c>
      <c r="F27">
        <f>'Presentation budget'!F4</f>
        <v>5850</v>
      </c>
      <c r="H27">
        <f>'Presentation budget'!I4</f>
        <v>5492.8</v>
      </c>
      <c r="J27">
        <f>'Presentation budget'!K4</f>
        <v>7200</v>
      </c>
    </row>
    <row r="28" spans="1:10" hidden="1" x14ac:dyDescent="0.25">
      <c r="B28">
        <f>'Presentation budget'!B5</f>
        <v>0</v>
      </c>
      <c r="C28" t="str">
        <f>'Presentation budget'!C5</f>
        <v>603700 - Variation des stocks de marchandises</v>
      </c>
      <c r="D28">
        <f>'Presentation budget'!D5</f>
        <v>0</v>
      </c>
      <c r="F28">
        <f>'Presentation budget'!F5</f>
        <v>0</v>
      </c>
      <c r="G28" t="str">
        <f>'Presentation budget'!H5</f>
        <v>701000 - Ventes de produits finis (Pavillons Tshirt etc..)</v>
      </c>
      <c r="H28">
        <f>'Presentation budget'!I5</f>
        <v>234</v>
      </c>
      <c r="J28">
        <f>'Presentation budget'!K5</f>
        <v>1000</v>
      </c>
    </row>
    <row r="29" spans="1:10" hidden="1" x14ac:dyDescent="0.25">
      <c r="B29">
        <f>'Presentation budget'!B6</f>
        <v>0</v>
      </c>
      <c r="C29" t="str">
        <f>'Presentation budget'!C6</f>
        <v>606510 - Repas-Rentrée-AG et Noël</v>
      </c>
      <c r="D29">
        <f>'Presentation budget'!D6</f>
        <v>2156.11</v>
      </c>
      <c r="F29">
        <f>'Presentation budget'!F6</f>
        <v>2500</v>
      </c>
      <c r="G29" t="str">
        <f>'Presentation budget'!H6</f>
        <v>706100 - Repas AG Rentrée Noël</v>
      </c>
      <c r="H29">
        <f>'Presentation budget'!I6</f>
        <v>3540</v>
      </c>
      <c r="J29">
        <f>'Presentation budget'!K6</f>
        <v>5000</v>
      </c>
    </row>
    <row r="30" spans="1:10" hidden="1" x14ac:dyDescent="0.25">
      <c r="B30">
        <f>'Presentation budget'!B7</f>
        <v>0</v>
      </c>
      <c r="C30" t="str">
        <f>'Presentation budget'!C7</f>
        <v>607100 - Achat de marchandises revendues telles quelles (ex : T-shirts)</v>
      </c>
      <c r="D30">
        <f>'Presentation budget'!D7</f>
        <v>0</v>
      </c>
      <c r="F30">
        <f>'Presentation budget'!F7</f>
        <v>1000</v>
      </c>
      <c r="G30" t="str">
        <f>'Presentation budget'!H7</f>
        <v>707000 - Ventes de marchandises</v>
      </c>
      <c r="H30">
        <f>'Presentation budget'!I7</f>
        <v>50</v>
      </c>
      <c r="J30">
        <f>'Presentation budget'!K7</f>
        <v>200</v>
      </c>
    </row>
    <row r="31" spans="1:10" hidden="1" x14ac:dyDescent="0.25">
      <c r="B31">
        <f>'Presentation budget'!B8</f>
        <v>0</v>
      </c>
      <c r="C31" t="str">
        <f>'Presentation budget'!C8</f>
        <v>606310 - Matériel hôtelier, Nappes, serviettes etc..</v>
      </c>
      <c r="D31">
        <f>'Presentation budget'!D8</f>
        <v>219.9</v>
      </c>
      <c r="F31">
        <f>'Presentation budget'!F8</f>
        <v>450</v>
      </c>
      <c r="G31" t="str">
        <f>'Presentation budget'!H8</f>
        <v>754100 - Dons et Collectes</v>
      </c>
      <c r="H31">
        <f>'Presentation budget'!I8</f>
        <v>1668.8</v>
      </c>
      <c r="J31">
        <f>'Presentation budget'!K8</f>
        <v>1000</v>
      </c>
    </row>
    <row r="32" spans="1:10" hidden="1" x14ac:dyDescent="0.25">
      <c r="B32">
        <f>'Presentation budget'!B9</f>
        <v>0</v>
      </c>
      <c r="C32" t="str">
        <f>'Presentation budget'!C9</f>
        <v>615010 - Participation Nettoyage Salles</v>
      </c>
      <c r="D32">
        <f>'Presentation budget'!D9</f>
        <v>-150</v>
      </c>
      <c r="F32">
        <f>'Presentation budget'!F9</f>
        <v>1000</v>
      </c>
      <c r="G32">
        <f>'Presentation budget'!H9</f>
        <v>0</v>
      </c>
      <c r="H32">
        <f>'Presentation budget'!I9</f>
        <v>0</v>
      </c>
      <c r="J32">
        <f>'Presentation budget'!K9</f>
        <v>0</v>
      </c>
    </row>
    <row r="33" spans="1:10" hidden="1" x14ac:dyDescent="0.25">
      <c r="A33" t="str">
        <f>'Presentation budget'!A11</f>
        <v>Commission voile habitable</v>
      </c>
      <c r="D33">
        <f>'Presentation budget'!D11</f>
        <v>20303.61</v>
      </c>
      <c r="F33">
        <f>'Presentation budget'!F11</f>
        <v>16350</v>
      </c>
      <c r="H33">
        <f>'Presentation budget'!I11</f>
        <v>39952.22</v>
      </c>
      <c r="J33">
        <f>'Presentation budget'!K11</f>
        <v>28300</v>
      </c>
    </row>
    <row r="34" spans="1:10" hidden="1" x14ac:dyDescent="0.25">
      <c r="B34">
        <f>'Presentation budget'!B12</f>
        <v>0</v>
      </c>
      <c r="C34" t="str">
        <f>'Presentation budget'!C12</f>
        <v>606520 - Repas Régates (Minimax, Défi, Sétoise, Gardiane)</v>
      </c>
      <c r="D34">
        <f>'Presentation budget'!D12</f>
        <v>7926.89</v>
      </c>
      <c r="F34">
        <f>'Presentation budget'!F12</f>
        <v>4500</v>
      </c>
      <c r="G34" t="str">
        <f>'Presentation budget'!H12</f>
        <v>706200 - Repas MiniMax Défi Sétoise Gardiane</v>
      </c>
      <c r="H34">
        <f>'Presentation budget'!I12</f>
        <v>9255</v>
      </c>
      <c r="J34">
        <f>'Presentation budget'!K12</f>
        <v>800</v>
      </c>
    </row>
    <row r="35" spans="1:10" hidden="1" x14ac:dyDescent="0.25">
      <c r="B35">
        <f>'Presentation budget'!B13</f>
        <v>0</v>
      </c>
      <c r="C35" t="str">
        <f>'Presentation budget'!C13</f>
        <v>606320 - Coupe-Pavillon-Cadeaux Régates Habitables</v>
      </c>
      <c r="D35">
        <f>'Presentation budget'!D13</f>
        <v>5155.87</v>
      </c>
      <c r="F35">
        <f>'Presentation budget'!F13</f>
        <v>3900</v>
      </c>
      <c r="G35" t="str">
        <f>'Presentation budget'!H13</f>
        <v>708100 - Régates habitables</v>
      </c>
      <c r="H35">
        <f>'Presentation budget'!I13</f>
        <v>25065</v>
      </c>
      <c r="J35">
        <f>'Presentation budget'!K13</f>
        <v>24000</v>
      </c>
    </row>
    <row r="36" spans="1:10" hidden="1" x14ac:dyDescent="0.25">
      <c r="B36">
        <f>'Presentation budget'!B14</f>
        <v>0</v>
      </c>
      <c r="C36" t="str">
        <f>'Presentation budget'!C14</f>
        <v>606110 - Carburant bateaux extérieurs ex Minimax</v>
      </c>
      <c r="D36">
        <f>'Presentation budget'!D14</f>
        <v>279.38</v>
      </c>
      <c r="F36">
        <f>'Presentation budget'!F14</f>
        <v>1000</v>
      </c>
      <c r="G36" t="str">
        <f>'Presentation budget'!H14</f>
        <v>708250 - Conventions  Medmax Safran et autre</v>
      </c>
      <c r="H36">
        <f>'Presentation budget'!I14</f>
        <v>5632.22</v>
      </c>
      <c r="J36">
        <f>'Presentation budget'!K14</f>
        <v>3500</v>
      </c>
    </row>
    <row r="37" spans="1:10" hidden="1" x14ac:dyDescent="0.25">
      <c r="B37">
        <f>'Presentation budget'!B15</f>
        <v>0</v>
      </c>
      <c r="C37" t="str">
        <f>'Presentation budget'!C15</f>
        <v>613000 - Location balises minimax ou  bateaux</v>
      </c>
      <c r="D37">
        <f>'Presentation budget'!D15</f>
        <v>2520</v>
      </c>
      <c r="F37">
        <f>'Presentation budget'!F15</f>
        <v>1700</v>
      </c>
      <c r="G37">
        <f>'Presentation budget'!H15</f>
        <v>0</v>
      </c>
      <c r="H37">
        <f>'Presentation budget'!I15</f>
        <v>0</v>
      </c>
      <c r="J37">
        <f>'Presentation budget'!K15</f>
        <v>0</v>
      </c>
    </row>
    <row r="38" spans="1:10" hidden="1" x14ac:dyDescent="0.25">
      <c r="B38">
        <f>'Presentation budget'!B16</f>
        <v>0</v>
      </c>
      <c r="C38" t="str">
        <f>'Presentation budget'!C16</f>
        <v>613110 - Place de Port extérieur (ex Ajaccio)</v>
      </c>
      <c r="D38">
        <f>'Presentation budget'!D16</f>
        <v>0</v>
      </c>
      <c r="F38">
        <f>'Presentation budget'!F16</f>
        <v>250</v>
      </c>
      <c r="G38">
        <f>'Presentation budget'!H16</f>
        <v>0</v>
      </c>
      <c r="H38">
        <f>'Presentation budget'!I16</f>
        <v>0</v>
      </c>
      <c r="J38">
        <f>'Presentation budget'!K16</f>
        <v>0</v>
      </c>
    </row>
    <row r="39" spans="1:10" hidden="1" x14ac:dyDescent="0.25">
      <c r="B39">
        <f>'Presentation budget'!B17</f>
        <v>0</v>
      </c>
      <c r="C39" t="str">
        <f>'Presentation budget'!C17</f>
        <v>623200 - Animation régate (Goûter-Apéritif-Sandwich)</v>
      </c>
      <c r="D39">
        <f>'Presentation budget'!D17</f>
        <v>4421.47</v>
      </c>
      <c r="F39">
        <f>'Presentation budget'!F17</f>
        <v>5000</v>
      </c>
      <c r="G39">
        <f>'Presentation budget'!H17</f>
        <v>0</v>
      </c>
      <c r="H39">
        <f>'Presentation budget'!I17</f>
        <v>0</v>
      </c>
      <c r="J39">
        <f>'Presentation budget'!K17</f>
        <v>0</v>
      </c>
    </row>
    <row r="40" spans="1:10" hidden="1" x14ac:dyDescent="0.25">
      <c r="A40" t="str">
        <f>'Presentation budget'!A19</f>
        <v>Commission Ronde et Minicroisières</v>
      </c>
      <c r="D40">
        <f>'Presentation budget'!D19</f>
        <v>2060.65</v>
      </c>
      <c r="F40">
        <f>'Presentation budget'!F19</f>
        <v>1600</v>
      </c>
      <c r="H40">
        <f>'Presentation budget'!I19</f>
        <v>2890</v>
      </c>
      <c r="J40">
        <f>'Presentation budget'!K19</f>
        <v>2500</v>
      </c>
    </row>
    <row r="41" spans="1:10" hidden="1" x14ac:dyDescent="0.25">
      <c r="B41">
        <f>'Presentation budget'!B20</f>
        <v>0</v>
      </c>
      <c r="C41" t="str">
        <f>'Presentation budget'!C20</f>
        <v>606323 - Coupe-Pavillon-Cadeaux Ronde</v>
      </c>
      <c r="D41">
        <f>'Presentation budget'!D20</f>
        <v>66</v>
      </c>
      <c r="F41">
        <f>'Presentation budget'!F20</f>
        <v>100</v>
      </c>
      <c r="G41" t="str">
        <f>'Presentation budget'!H20</f>
        <v>708600 - Ronde Blanche-SNSM-Autres</v>
      </c>
      <c r="H41">
        <f>'Presentation budget'!I20</f>
        <v>1090</v>
      </c>
      <c r="J41">
        <f>'Presentation budget'!K20</f>
        <v>800</v>
      </c>
    </row>
    <row r="42" spans="1:10" hidden="1" x14ac:dyDescent="0.25">
      <c r="B42">
        <f>'Presentation budget'!B21</f>
        <v>0</v>
      </c>
      <c r="C42" t="str">
        <f>'Presentation budget'!C21</f>
        <v>623410 - Dépenses Mini Croisière</v>
      </c>
      <c r="D42">
        <f>'Presentation budget'!D21</f>
        <v>1744.65</v>
      </c>
      <c r="F42">
        <f>'Presentation budget'!F21</f>
        <v>1500</v>
      </c>
      <c r="G42" t="str">
        <f>'Presentation budget'!H21</f>
        <v>708300 - Mini Croisière</v>
      </c>
      <c r="H42">
        <f>'Presentation budget'!I21</f>
        <v>1800</v>
      </c>
      <c r="J42">
        <f>'Presentation budget'!K21</f>
        <v>1700</v>
      </c>
    </row>
    <row r="43" spans="1:10" hidden="1" x14ac:dyDescent="0.25">
      <c r="A43" t="str">
        <f>'Presentation budget'!A23</f>
        <v>commission voile légère</v>
      </c>
      <c r="D43">
        <f>'Presentation budget'!D23</f>
        <v>470.29999999999995</v>
      </c>
      <c r="F43">
        <f>'Presentation budget'!F23</f>
        <v>2800</v>
      </c>
      <c r="H43">
        <f>'Presentation budget'!I23</f>
        <v>6678</v>
      </c>
      <c r="J43">
        <f>'Presentation budget'!K23</f>
        <v>8700</v>
      </c>
    </row>
    <row r="44" spans="1:10" hidden="1" x14ac:dyDescent="0.25">
      <c r="B44">
        <f>'Presentation budget'!B24</f>
        <v>0</v>
      </c>
      <c r="C44" t="str">
        <f>'Presentation budget'!C24</f>
        <v>606322 - Coupe-Pavillon-Cadeaux Voile Légère</v>
      </c>
      <c r="D44">
        <f>'Presentation budget'!D24</f>
        <v>0</v>
      </c>
      <c r="F44">
        <f>'Presentation budget'!F24</f>
        <v>150</v>
      </c>
      <c r="G44" t="str">
        <f>'Presentation budget'!H24</f>
        <v>708200 - Régates voile légère (cata, critérium)</v>
      </c>
      <c r="H44">
        <f>'Presentation budget'!I24</f>
        <v>828</v>
      </c>
      <c r="J44">
        <f>'Presentation budget'!K24</f>
        <v>700</v>
      </c>
    </row>
    <row r="45" spans="1:10" hidden="1" x14ac:dyDescent="0.25">
      <c r="B45">
        <f>'Presentation budget'!B25</f>
        <v>0</v>
      </c>
      <c r="C45" t="str">
        <f>'Presentation budget'!C25</f>
        <v>606340 - Animation Ecole de voile (Goûter etc..)</v>
      </c>
      <c r="D45">
        <f>'Presentation budget'!D25</f>
        <v>271.83999999999997</v>
      </c>
      <c r="F45">
        <f>'Presentation budget'!F25</f>
        <v>150</v>
      </c>
      <c r="G45" t="str">
        <f>'Presentation budget'!H25</f>
        <v>708400 - Ecole de voile loisir</v>
      </c>
      <c r="H45">
        <f>'Presentation budget'!I25</f>
        <v>5850</v>
      </c>
      <c r="J45">
        <f>'Presentation budget'!K25</f>
        <v>8000</v>
      </c>
    </row>
    <row r="46" spans="1:10" hidden="1" x14ac:dyDescent="0.25">
      <c r="B46">
        <f>'Presentation budget'!B26</f>
        <v>0</v>
      </c>
      <c r="C46" t="str">
        <f>'Presentation budget'!C26</f>
        <v>611000 - Sous-traitance (ex UCPA) ou Trop perçu convention EVL</v>
      </c>
      <c r="D46">
        <f>'Presentation budget'!D26</f>
        <v>0</v>
      </c>
      <c r="F46">
        <f>'Presentation budget'!F26</f>
        <v>2500</v>
      </c>
      <c r="G46">
        <f>'Presentation budget'!H26</f>
        <v>0</v>
      </c>
      <c r="H46">
        <f>'Presentation budget'!I26</f>
        <v>0</v>
      </c>
      <c r="J46">
        <f>'Presentation budget'!K26</f>
        <v>0</v>
      </c>
    </row>
    <row r="47" spans="1:10" hidden="1" x14ac:dyDescent="0.25">
      <c r="A47" t="str">
        <f>'Presentation budget'!A29</f>
        <v>Dragon</v>
      </c>
      <c r="D47">
        <f>'Presentation budget'!D29</f>
        <v>5931.15</v>
      </c>
      <c r="F47">
        <f>'Presentation budget'!F29</f>
        <v>4600</v>
      </c>
      <c r="H47">
        <f>'Presentation budget'!I29</f>
        <v>10250</v>
      </c>
      <c r="J47">
        <f>'Presentation budget'!K29</f>
        <v>10700</v>
      </c>
    </row>
    <row r="48" spans="1:10" hidden="1" x14ac:dyDescent="0.25">
      <c r="B48">
        <f>'Presentation budget'!B30</f>
        <v>0</v>
      </c>
      <c r="C48" t="str">
        <f>'Presentation budget'!C30</f>
        <v>606321 - Coupe-Pavillon-Cadeaux DRAGON</v>
      </c>
      <c r="D48">
        <f>'Presentation budget'!D30</f>
        <v>1442.95</v>
      </c>
      <c r="F48">
        <f>'Presentation budget'!F30</f>
        <v>700</v>
      </c>
      <c r="G48" t="str">
        <f>'Presentation budget'!H30</f>
        <v>708500 - Régates Dragon Grand Prix</v>
      </c>
      <c r="H48">
        <f>'Presentation budget'!I30</f>
        <v>7200</v>
      </c>
      <c r="J48">
        <f>'Presentation budget'!K30</f>
        <v>8000</v>
      </c>
    </row>
    <row r="49" spans="1:10" hidden="1" x14ac:dyDescent="0.25">
      <c r="B49">
        <f>'Presentation budget'!B31</f>
        <v>0</v>
      </c>
      <c r="C49" t="str">
        <f>'Presentation budget'!C31</f>
        <v>606530 - Repas Dragon</v>
      </c>
      <c r="D49">
        <f>'Presentation budget'!D31</f>
        <v>2488.1999999999998</v>
      </c>
      <c r="F49">
        <f>'Presentation budget'!F31</f>
        <v>3900</v>
      </c>
      <c r="G49" t="str">
        <f>'Presentation budget'!H31</f>
        <v>708700 - Autres Régates Dragon</v>
      </c>
      <c r="H49">
        <f>'Presentation budget'!I31</f>
        <v>2050</v>
      </c>
      <c r="J49">
        <f>'Presentation budget'!K31</f>
        <v>2700</v>
      </c>
    </row>
    <row r="50" spans="1:10" s="18" customFormat="1" hidden="1" x14ac:dyDescent="0.25"/>
    <row r="51" spans="1:10" s="18" customFormat="1" hidden="1" x14ac:dyDescent="0.25"/>
    <row r="52" spans="1:10" hidden="1" x14ac:dyDescent="0.25">
      <c r="A52" t="str">
        <f>'Presentation budget'!A33</f>
        <v>Commission logistique</v>
      </c>
      <c r="D52">
        <f>'Presentation budget'!D33</f>
        <v>16661.91</v>
      </c>
      <c r="F52">
        <f>'Presentation budget'!F33</f>
        <v>12700</v>
      </c>
      <c r="G52">
        <f>'Presentation budget'!H33</f>
        <v>0</v>
      </c>
      <c r="H52">
        <f>'Presentation budget'!I33</f>
        <v>7500</v>
      </c>
      <c r="J52">
        <f>'Presentation budget'!K33</f>
        <v>0</v>
      </c>
    </row>
    <row r="53" spans="1:10" s="18" customFormat="1" hidden="1" x14ac:dyDescent="0.25">
      <c r="A53" s="18">
        <f>'Presentation budget'!A34</f>
        <v>0</v>
      </c>
      <c r="B53" s="18">
        <f>'Presentation budget'!B34</f>
        <v>0</v>
      </c>
      <c r="C53" s="18" t="str">
        <f>'Presentation budget'!C34</f>
        <v>606120 - Carburant Cantadoc</v>
      </c>
      <c r="D53" s="18">
        <f>'Presentation budget'!D34</f>
        <v>1374.91</v>
      </c>
      <c r="F53" s="18">
        <f>'Presentation budget'!F34</f>
        <v>850</v>
      </c>
      <c r="G53" s="18" t="str">
        <f>'Presentation budget'!H34</f>
        <v>706000 - Ventes de prestations de services</v>
      </c>
      <c r="H53" s="18">
        <f>'Presentation budget'!I34</f>
        <v>0</v>
      </c>
      <c r="J53" s="18">
        <f>'Presentation budget'!K34</f>
        <v>0</v>
      </c>
    </row>
    <row r="54" spans="1:10" s="18" customFormat="1" hidden="1" x14ac:dyDescent="0.25">
      <c r="A54" s="18">
        <f>'Presentation budget'!A35</f>
        <v>0</v>
      </c>
      <c r="B54" s="18">
        <f>'Presentation budget'!B35</f>
        <v>0</v>
      </c>
      <c r="C54" s="18" t="str">
        <f>'Presentation budget'!C35</f>
        <v>606130 - Carburant Diplomatico</v>
      </c>
      <c r="D54" s="18">
        <f>'Presentation budget'!D35</f>
        <v>50.1</v>
      </c>
      <c r="F54" s="18">
        <f>'Presentation budget'!F35</f>
        <v>50</v>
      </c>
    </row>
    <row r="55" spans="1:10" s="18" customFormat="1" hidden="1" x14ac:dyDescent="0.25">
      <c r="A55" s="18">
        <f>'Presentation budget'!A36</f>
        <v>0</v>
      </c>
      <c r="B55" s="18">
        <f>'Presentation budget'!B36</f>
        <v>0</v>
      </c>
      <c r="C55" s="18" t="str">
        <f>'Presentation budget'!C36</f>
        <v>606150 - Carburant Azur</v>
      </c>
      <c r="D55" s="18">
        <f>'Presentation budget'!D36</f>
        <v>722.79</v>
      </c>
      <c r="F55" s="18">
        <f>'Presentation budget'!F36</f>
        <v>300</v>
      </c>
    </row>
    <row r="56" spans="1:10" hidden="1" x14ac:dyDescent="0.25">
      <c r="A56">
        <f>'Presentation budget'!A38</f>
        <v>0</v>
      </c>
      <c r="B56">
        <f>'Presentation budget'!B38</f>
        <v>0</v>
      </c>
      <c r="C56" t="str">
        <f>'Presentation budget'!C38</f>
        <v>606300 - Petit équipement pour entretien bateaux</v>
      </c>
      <c r="D56">
        <f>'Presentation budget'!D38</f>
        <v>608.34</v>
      </c>
      <c r="F56">
        <f>'Presentation budget'!F38</f>
        <v>600</v>
      </c>
    </row>
    <row r="57" spans="1:10" hidden="1" x14ac:dyDescent="0.25">
      <c r="A57">
        <f>'Presentation budget'!A39</f>
        <v>0</v>
      </c>
      <c r="B57">
        <f>'Presentation budget'!B39</f>
        <v>0</v>
      </c>
      <c r="C57" t="str">
        <f>'Presentation budget'!C39</f>
        <v>606330 - Entretien Cantadoc</v>
      </c>
      <c r="D57">
        <f>'Presentation budget'!D39</f>
        <v>2520.34</v>
      </c>
      <c r="F57">
        <f>'Presentation budget'!F39</f>
        <v>1650</v>
      </c>
    </row>
    <row r="58" spans="1:10" hidden="1" x14ac:dyDescent="0.25">
      <c r="A58">
        <f>'Presentation budget'!A40</f>
        <v>0</v>
      </c>
      <c r="B58">
        <f>'Presentation budget'!B40</f>
        <v>0</v>
      </c>
      <c r="C58" t="str">
        <f>'Presentation budget'!C40</f>
        <v>606331 - Entretien Diplomatico</v>
      </c>
      <c r="D58">
        <f>'Presentation budget'!D40</f>
        <v>232.38</v>
      </c>
      <c r="F58">
        <f>'Presentation budget'!F40</f>
        <v>0</v>
      </c>
    </row>
    <row r="59" spans="1:10" hidden="1" x14ac:dyDescent="0.25">
      <c r="A59">
        <f>'Presentation budget'!A41</f>
        <v>0</v>
      </c>
      <c r="B59">
        <f>'Presentation budget'!B41</f>
        <v>0</v>
      </c>
      <c r="C59" t="str">
        <f>'Presentation budget'!C41</f>
        <v>606333 - Entretien Azur</v>
      </c>
      <c r="D59">
        <f>'Presentation budget'!D41</f>
        <v>393.2</v>
      </c>
      <c r="F59">
        <f>'Presentation budget'!F41</f>
        <v>750</v>
      </c>
    </row>
    <row r="60" spans="1:10" hidden="1" x14ac:dyDescent="0.25">
      <c r="A60">
        <f>'Presentation budget'!A42</f>
        <v>0</v>
      </c>
      <c r="B60">
        <f>'Presentation budget'!B42</f>
        <v>0</v>
      </c>
      <c r="C60" t="str">
        <f>'Presentation budget'!C42</f>
        <v xml:space="preserve">606334 - Entretien Remorque </v>
      </c>
      <c r="D60">
        <f>'Presentation budget'!D42</f>
        <v>0</v>
      </c>
      <c r="F60">
        <f>'Presentation budget'!F42</f>
        <v>100</v>
      </c>
    </row>
    <row r="61" spans="1:10" hidden="1" x14ac:dyDescent="0.25">
      <c r="A61">
        <f>'Presentation budget'!A43</f>
        <v>0</v>
      </c>
      <c r="B61">
        <f>'Presentation budget'!B43</f>
        <v>0</v>
      </c>
      <c r="C61" t="str">
        <f>'Presentation budget'!C43</f>
        <v>606336 - Entretien CAPELADO</v>
      </c>
      <c r="D61">
        <f>'Presentation budget'!D43</f>
        <v>1766.53</v>
      </c>
      <c r="F61">
        <f>'Presentation budget'!F43</f>
        <v>1000</v>
      </c>
    </row>
    <row r="62" spans="1:10" hidden="1" x14ac:dyDescent="0.25">
      <c r="A62">
        <f>'Presentation budget'!A44</f>
        <v>0</v>
      </c>
      <c r="B62">
        <f>'Presentation budget'!B44</f>
        <v>0</v>
      </c>
      <c r="C62" t="str">
        <f>'Presentation budget'!C44</f>
        <v>606350 - Matériel pour animation régate</v>
      </c>
      <c r="D62">
        <f>'Presentation budget'!D44</f>
        <v>1173.6400000000001</v>
      </c>
      <c r="F62">
        <f>'Presentation budget'!F44</f>
        <v>100</v>
      </c>
    </row>
    <row r="63" spans="1:10" hidden="1" x14ac:dyDescent="0.25">
      <c r="A63">
        <f>'Presentation budget'!A45</f>
        <v>0</v>
      </c>
      <c r="B63">
        <f>'Presentation budget'!B45</f>
        <v>0</v>
      </c>
      <c r="C63" t="str">
        <f>'Presentation budget'!C45</f>
        <v>616000 - Primes d'assurances Bateaux</v>
      </c>
      <c r="D63">
        <f>'Presentation budget'!D45</f>
        <v>6336.52</v>
      </c>
      <c r="F63">
        <f>'Presentation budget'!F45</f>
        <v>6850</v>
      </c>
    </row>
    <row r="64" spans="1:10" hidden="1" x14ac:dyDescent="0.25"/>
    <row r="65" spans="1:6" hidden="1" x14ac:dyDescent="0.25">
      <c r="A65" t="str">
        <f>'Presentation budget'!A51</f>
        <v>SOUS TOTAL FRAIS SALAiRES</v>
      </c>
      <c r="B65">
        <f>'Presentation budget'!B51</f>
        <v>0</v>
      </c>
      <c r="C65">
        <f>'Presentation budget'!C51</f>
        <v>0</v>
      </c>
      <c r="D65">
        <f>'Presentation budget'!D51</f>
        <v>29556.170000000002</v>
      </c>
      <c r="F65">
        <f>'Presentation budget'!F51</f>
        <v>32500</v>
      </c>
    </row>
  </sheetData>
  <mergeCells count="6">
    <mergeCell ref="G2:G3"/>
    <mergeCell ref="D17:F17"/>
    <mergeCell ref="C2:C3"/>
    <mergeCell ref="D2:D3"/>
    <mergeCell ref="E2:E3"/>
    <mergeCell ref="F2:F3"/>
  </mergeCells>
  <pageMargins left="0.7" right="0.7" top="0.75" bottom="0.75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0"/>
  <sheetViews>
    <sheetView topLeftCell="A82" workbookViewId="0">
      <selection activeCell="A100" sqref="A100:XFD100"/>
    </sheetView>
  </sheetViews>
  <sheetFormatPr baseColWidth="10" defaultRowHeight="15" x14ac:dyDescent="0.25"/>
  <cols>
    <col min="1" max="1" width="17.7109375" bestFit="1" customWidth="1"/>
    <col min="2" max="2" width="71.42578125" bestFit="1" customWidth="1"/>
    <col min="3" max="3" width="13.7109375" bestFit="1" customWidth="1"/>
    <col min="4" max="4" width="14" bestFit="1" customWidth="1"/>
  </cols>
  <sheetData>
    <row r="1" spans="1:5" x14ac:dyDescent="0.25">
      <c r="A1" s="199" t="s">
        <v>90</v>
      </c>
      <c r="B1" s="199" t="s">
        <v>91</v>
      </c>
      <c r="C1" s="199" t="s">
        <v>198</v>
      </c>
      <c r="D1" s="199" t="s">
        <v>93</v>
      </c>
      <c r="E1" s="199" t="s">
        <v>92</v>
      </c>
    </row>
    <row r="2" spans="1:5" x14ac:dyDescent="0.25">
      <c r="A2" s="200" t="s">
        <v>94</v>
      </c>
      <c r="B2" s="200" t="s">
        <v>5</v>
      </c>
      <c r="C2" s="201">
        <v>234</v>
      </c>
      <c r="D2" s="201">
        <v>1000</v>
      </c>
      <c r="E2" s="201">
        <v>0</v>
      </c>
    </row>
    <row r="3" spans="1:5" x14ac:dyDescent="0.25">
      <c r="A3" s="200" t="s">
        <v>95</v>
      </c>
      <c r="B3" s="200" t="s">
        <v>6</v>
      </c>
      <c r="C3" s="201">
        <v>0</v>
      </c>
      <c r="D3" s="201">
        <v>0</v>
      </c>
      <c r="E3" s="201">
        <v>150.75</v>
      </c>
    </row>
    <row r="4" spans="1:5" x14ac:dyDescent="0.25">
      <c r="A4" s="200" t="s">
        <v>96</v>
      </c>
      <c r="B4" s="200" t="s">
        <v>8</v>
      </c>
      <c r="C4" s="201">
        <v>3540</v>
      </c>
      <c r="D4" s="201">
        <v>5000</v>
      </c>
      <c r="E4" s="201">
        <v>5771</v>
      </c>
    </row>
    <row r="5" spans="1:5" x14ac:dyDescent="0.25">
      <c r="A5" s="200" t="s">
        <v>97</v>
      </c>
      <c r="B5" s="200" t="s">
        <v>9</v>
      </c>
      <c r="C5" s="201">
        <v>9255</v>
      </c>
      <c r="D5" s="201">
        <v>800</v>
      </c>
      <c r="E5" s="201">
        <v>1480</v>
      </c>
    </row>
    <row r="6" spans="1:5" x14ac:dyDescent="0.25">
      <c r="A6" s="200" t="s">
        <v>98</v>
      </c>
      <c r="B6" s="200" t="s">
        <v>10</v>
      </c>
      <c r="C6" s="201">
        <v>50</v>
      </c>
      <c r="D6" s="201">
        <v>200</v>
      </c>
      <c r="E6" s="201">
        <v>1033</v>
      </c>
    </row>
    <row r="7" spans="1:5" x14ac:dyDescent="0.25">
      <c r="A7" s="200" t="s">
        <v>99</v>
      </c>
      <c r="B7" s="200" t="s">
        <v>11</v>
      </c>
      <c r="C7" s="201">
        <v>25065</v>
      </c>
      <c r="D7" s="201">
        <v>24000</v>
      </c>
      <c r="E7" s="201">
        <v>24103</v>
      </c>
    </row>
    <row r="8" spans="1:5" x14ac:dyDescent="0.25">
      <c r="A8" s="200" t="s">
        <v>100</v>
      </c>
      <c r="B8" s="200" t="s">
        <v>12</v>
      </c>
      <c r="C8" s="201">
        <v>828</v>
      </c>
      <c r="D8" s="201">
        <v>700</v>
      </c>
      <c r="E8" s="201">
        <v>704</v>
      </c>
    </row>
    <row r="9" spans="1:5" x14ac:dyDescent="0.25">
      <c r="A9" s="200" t="s">
        <v>101</v>
      </c>
      <c r="B9" s="200" t="s">
        <v>13</v>
      </c>
      <c r="C9" s="201">
        <v>5632.22</v>
      </c>
      <c r="D9" s="201">
        <v>3500</v>
      </c>
      <c r="E9" s="201">
        <v>7117</v>
      </c>
    </row>
    <row r="10" spans="1:5" x14ac:dyDescent="0.25">
      <c r="A10" s="200" t="s">
        <v>102</v>
      </c>
      <c r="B10" s="200" t="s">
        <v>14</v>
      </c>
      <c r="C10" s="201">
        <v>1800</v>
      </c>
      <c r="D10" s="201">
        <v>1700</v>
      </c>
      <c r="E10" s="201">
        <v>1559</v>
      </c>
    </row>
    <row r="11" spans="1:5" x14ac:dyDescent="0.25">
      <c r="A11" s="200" t="s">
        <v>103</v>
      </c>
      <c r="B11" s="200" t="s">
        <v>15</v>
      </c>
      <c r="C11" s="201">
        <v>15644</v>
      </c>
      <c r="D11" s="201">
        <v>17000</v>
      </c>
      <c r="E11" s="201">
        <v>15135.5</v>
      </c>
    </row>
    <row r="12" spans="1:5" x14ac:dyDescent="0.25">
      <c r="A12" s="200" t="s">
        <v>104</v>
      </c>
      <c r="B12" s="200" t="s">
        <v>16</v>
      </c>
      <c r="C12" s="201">
        <v>5850</v>
      </c>
      <c r="D12" s="201">
        <v>8000</v>
      </c>
      <c r="E12" s="201">
        <v>7873</v>
      </c>
    </row>
    <row r="13" spans="1:5" x14ac:dyDescent="0.25">
      <c r="A13" s="200" t="s">
        <v>105</v>
      </c>
      <c r="B13" s="200" t="s">
        <v>17</v>
      </c>
      <c r="C13" s="201">
        <v>7200</v>
      </c>
      <c r="D13" s="201">
        <v>8000</v>
      </c>
      <c r="E13" s="201">
        <v>5070</v>
      </c>
    </row>
    <row r="14" spans="1:5" x14ac:dyDescent="0.25">
      <c r="A14" s="200" t="s">
        <v>106</v>
      </c>
      <c r="B14" s="200" t="s">
        <v>19</v>
      </c>
      <c r="C14" s="201">
        <v>1090</v>
      </c>
      <c r="D14" s="201">
        <v>800</v>
      </c>
      <c r="E14" s="201">
        <v>660</v>
      </c>
    </row>
    <row r="15" spans="1:5" x14ac:dyDescent="0.25">
      <c r="A15" s="200" t="s">
        <v>107</v>
      </c>
      <c r="B15" s="200" t="s">
        <v>20</v>
      </c>
      <c r="C15" s="201">
        <v>2050</v>
      </c>
      <c r="D15" s="201">
        <v>2700</v>
      </c>
      <c r="E15" s="201">
        <v>3500</v>
      </c>
    </row>
    <row r="16" spans="1:5" x14ac:dyDescent="0.25">
      <c r="A16" s="200" t="s">
        <v>108</v>
      </c>
      <c r="B16" s="200" t="s">
        <v>21</v>
      </c>
      <c r="C16" s="201">
        <v>-6256</v>
      </c>
      <c r="D16" s="201">
        <v>0</v>
      </c>
      <c r="E16" s="201">
        <v>0</v>
      </c>
    </row>
    <row r="17" spans="1:5" x14ac:dyDescent="0.25">
      <c r="A17" s="200" t="s">
        <v>109</v>
      </c>
      <c r="B17" s="200" t="s">
        <v>22</v>
      </c>
      <c r="C17" s="201">
        <v>12500</v>
      </c>
      <c r="D17" s="201">
        <v>12500</v>
      </c>
      <c r="E17" s="201">
        <v>12500</v>
      </c>
    </row>
    <row r="18" spans="1:5" x14ac:dyDescent="0.25">
      <c r="A18" s="200" t="s">
        <v>110</v>
      </c>
      <c r="B18" s="200" t="s">
        <v>245</v>
      </c>
      <c r="C18" s="201">
        <v>3800</v>
      </c>
      <c r="D18" s="201">
        <v>4000</v>
      </c>
      <c r="E18" s="201">
        <v>4800</v>
      </c>
    </row>
    <row r="19" spans="1:5" x14ac:dyDescent="0.25">
      <c r="A19" s="200" t="s">
        <v>111</v>
      </c>
      <c r="B19" s="200" t="s">
        <v>23</v>
      </c>
      <c r="C19" s="201">
        <v>10902.18</v>
      </c>
      <c r="D19" s="201">
        <v>11500</v>
      </c>
      <c r="E19" s="201">
        <v>10725.39</v>
      </c>
    </row>
    <row r="20" spans="1:5" x14ac:dyDescent="0.25">
      <c r="A20" s="200" t="s">
        <v>112</v>
      </c>
      <c r="B20" s="200" t="s">
        <v>24</v>
      </c>
      <c r="C20" s="201">
        <v>500</v>
      </c>
      <c r="D20" s="201">
        <v>1500</v>
      </c>
      <c r="E20" s="201">
        <v>1500</v>
      </c>
    </row>
    <row r="21" spans="1:5" x14ac:dyDescent="0.25">
      <c r="A21" s="200" t="s">
        <v>113</v>
      </c>
      <c r="B21" s="200" t="s">
        <v>25</v>
      </c>
      <c r="C21" s="201">
        <v>25028</v>
      </c>
      <c r="D21" s="201">
        <v>23000</v>
      </c>
      <c r="E21" s="201">
        <v>24417.5</v>
      </c>
    </row>
    <row r="22" spans="1:5" x14ac:dyDescent="0.25">
      <c r="A22" s="200" t="s">
        <v>114</v>
      </c>
      <c r="B22" s="200" t="s">
        <v>230</v>
      </c>
      <c r="C22" s="201">
        <v>1668.8</v>
      </c>
      <c r="D22" s="201">
        <v>1000</v>
      </c>
      <c r="E22" s="201">
        <v>1715.3</v>
      </c>
    </row>
    <row r="23" spans="1:5" x14ac:dyDescent="0.25">
      <c r="A23" s="200" t="s">
        <v>115</v>
      </c>
      <c r="B23" s="200" t="s">
        <v>27</v>
      </c>
      <c r="C23" s="201">
        <v>25193.3</v>
      </c>
      <c r="D23" s="201">
        <v>19100</v>
      </c>
      <c r="E23" s="201">
        <v>19111.5</v>
      </c>
    </row>
    <row r="24" spans="1:5" x14ac:dyDescent="0.25">
      <c r="A24" s="200" t="s">
        <v>116</v>
      </c>
      <c r="B24" s="200" t="s">
        <v>117</v>
      </c>
      <c r="C24" s="202"/>
      <c r="D24" s="201">
        <v>2000</v>
      </c>
      <c r="E24" s="201">
        <v>3760.38</v>
      </c>
    </row>
    <row r="25" spans="1:5" x14ac:dyDescent="0.25">
      <c r="A25" s="200" t="s">
        <v>118</v>
      </c>
      <c r="B25" s="200" t="s">
        <v>28</v>
      </c>
      <c r="C25" s="201">
        <v>0</v>
      </c>
      <c r="D25" s="201">
        <v>0</v>
      </c>
      <c r="E25" s="201">
        <v>50</v>
      </c>
    </row>
    <row r="26" spans="1:5" x14ac:dyDescent="0.25">
      <c r="A26" s="200" t="s">
        <v>119</v>
      </c>
      <c r="B26" s="200" t="s">
        <v>29</v>
      </c>
      <c r="C26" s="201">
        <v>0</v>
      </c>
      <c r="D26" s="201">
        <v>0</v>
      </c>
      <c r="E26" s="201">
        <v>50</v>
      </c>
    </row>
    <row r="27" spans="1:5" x14ac:dyDescent="0.25">
      <c r="A27" s="200" t="s">
        <v>120</v>
      </c>
      <c r="B27" s="200" t="s">
        <v>30</v>
      </c>
      <c r="C27" s="201">
        <v>0</v>
      </c>
      <c r="D27" s="201">
        <v>0</v>
      </c>
      <c r="E27" s="201">
        <v>720</v>
      </c>
    </row>
    <row r="28" spans="1:5" x14ac:dyDescent="0.25">
      <c r="A28" s="200" t="s">
        <v>121</v>
      </c>
      <c r="B28" s="200" t="s">
        <v>31</v>
      </c>
      <c r="C28" s="201">
        <v>-1079</v>
      </c>
      <c r="D28" s="201">
        <v>-1000</v>
      </c>
      <c r="E28" s="201">
        <v>-1031.5</v>
      </c>
    </row>
    <row r="29" spans="1:5" x14ac:dyDescent="0.25">
      <c r="A29" s="200" t="s">
        <v>122</v>
      </c>
      <c r="B29" s="200" t="s">
        <v>32</v>
      </c>
      <c r="C29" s="201">
        <v>-279.38</v>
      </c>
      <c r="D29" s="201">
        <v>-1000</v>
      </c>
      <c r="E29" s="201">
        <v>-886.64</v>
      </c>
    </row>
    <row r="30" spans="1:5" x14ac:dyDescent="0.25">
      <c r="A30" s="200" t="s">
        <v>123</v>
      </c>
      <c r="B30" s="200" t="s">
        <v>33</v>
      </c>
      <c r="C30" s="201">
        <v>-1374.91</v>
      </c>
      <c r="D30" s="201">
        <v>-850</v>
      </c>
      <c r="E30" s="201">
        <v>-684.81</v>
      </c>
    </row>
    <row r="31" spans="1:5" x14ac:dyDescent="0.25">
      <c r="A31" s="200" t="s">
        <v>124</v>
      </c>
      <c r="B31" s="200" t="s">
        <v>34</v>
      </c>
      <c r="C31" s="201">
        <v>-50.1</v>
      </c>
      <c r="D31" s="201">
        <v>-50</v>
      </c>
      <c r="E31" s="201">
        <v>-666.03</v>
      </c>
    </row>
    <row r="32" spans="1:5" x14ac:dyDescent="0.25">
      <c r="A32" s="200" t="s">
        <v>125</v>
      </c>
      <c r="B32" s="200" t="s">
        <v>35</v>
      </c>
      <c r="C32" s="201">
        <v>-722.79</v>
      </c>
      <c r="D32" s="201">
        <v>-300</v>
      </c>
      <c r="E32" s="201">
        <v>-254.96</v>
      </c>
    </row>
    <row r="33" spans="1:5" x14ac:dyDescent="0.25">
      <c r="A33" s="200" t="s">
        <v>126</v>
      </c>
      <c r="B33" s="200" t="s">
        <v>36</v>
      </c>
      <c r="C33" s="201">
        <v>-608.34</v>
      </c>
      <c r="D33" s="201">
        <v>-600</v>
      </c>
      <c r="E33" s="201">
        <v>-779.05</v>
      </c>
    </row>
    <row r="34" spans="1:5" x14ac:dyDescent="0.25">
      <c r="A34" s="200" t="s">
        <v>127</v>
      </c>
      <c r="B34" s="200" t="s">
        <v>37</v>
      </c>
      <c r="C34" s="201">
        <v>-219.9</v>
      </c>
      <c r="D34" s="201">
        <v>-450</v>
      </c>
      <c r="E34" s="201">
        <v>-792.48</v>
      </c>
    </row>
    <row r="35" spans="1:5" x14ac:dyDescent="0.25">
      <c r="A35" s="200" t="s">
        <v>128</v>
      </c>
      <c r="B35" s="200" t="s">
        <v>38</v>
      </c>
      <c r="C35" s="201">
        <v>-5155.87</v>
      </c>
      <c r="D35" s="201">
        <v>-3900</v>
      </c>
      <c r="E35" s="201">
        <v>-4079.77</v>
      </c>
    </row>
    <row r="36" spans="1:5" x14ac:dyDescent="0.25">
      <c r="A36" s="200" t="s">
        <v>129</v>
      </c>
      <c r="B36" s="200" t="s">
        <v>39</v>
      </c>
      <c r="C36" s="201">
        <v>-1442.95</v>
      </c>
      <c r="D36" s="201">
        <v>-700</v>
      </c>
      <c r="E36" s="201">
        <v>-514.34</v>
      </c>
    </row>
    <row r="37" spans="1:5" x14ac:dyDescent="0.25">
      <c r="A37" s="200" t="s">
        <v>130</v>
      </c>
      <c r="B37" s="200" t="s">
        <v>40</v>
      </c>
      <c r="C37" s="201">
        <v>0</v>
      </c>
      <c r="D37" s="201">
        <v>-150</v>
      </c>
      <c r="E37" s="201">
        <v>-14.99</v>
      </c>
    </row>
    <row r="38" spans="1:5" x14ac:dyDescent="0.25">
      <c r="A38" s="200" t="s">
        <v>131</v>
      </c>
      <c r="B38" s="200" t="s">
        <v>132</v>
      </c>
      <c r="C38" s="201">
        <v>-66</v>
      </c>
      <c r="D38" s="201">
        <v>-100</v>
      </c>
      <c r="E38" s="201">
        <v>0</v>
      </c>
    </row>
    <row r="39" spans="1:5" x14ac:dyDescent="0.25">
      <c r="A39" s="200" t="s">
        <v>133</v>
      </c>
      <c r="B39" s="200" t="s">
        <v>41</v>
      </c>
      <c r="C39" s="201">
        <v>-2520.34</v>
      </c>
      <c r="D39" s="201">
        <v>-1650</v>
      </c>
      <c r="E39" s="201">
        <v>-1843.15</v>
      </c>
    </row>
    <row r="40" spans="1:5" x14ac:dyDescent="0.25">
      <c r="A40" s="200" t="s">
        <v>134</v>
      </c>
      <c r="B40" s="200" t="s">
        <v>42</v>
      </c>
      <c r="C40" s="201">
        <v>-232.38</v>
      </c>
      <c r="D40" s="201">
        <v>0</v>
      </c>
      <c r="E40" s="201">
        <v>-1179.58</v>
      </c>
    </row>
    <row r="41" spans="1:5" x14ac:dyDescent="0.25">
      <c r="A41" s="200" t="s">
        <v>135</v>
      </c>
      <c r="B41" s="200" t="s">
        <v>43</v>
      </c>
      <c r="C41" s="201">
        <v>-393.2</v>
      </c>
      <c r="D41" s="201">
        <v>-750</v>
      </c>
      <c r="E41" s="201">
        <v>-707.88</v>
      </c>
    </row>
    <row r="42" spans="1:5" x14ac:dyDescent="0.25">
      <c r="A42" s="200" t="s">
        <v>136</v>
      </c>
      <c r="B42" s="200" t="s">
        <v>137</v>
      </c>
      <c r="C42" s="202"/>
      <c r="D42" s="201">
        <v>-100</v>
      </c>
      <c r="E42" s="201">
        <v>0</v>
      </c>
    </row>
    <row r="43" spans="1:5" x14ac:dyDescent="0.25">
      <c r="A43" s="200" t="s">
        <v>138</v>
      </c>
      <c r="B43" s="200" t="s">
        <v>44</v>
      </c>
      <c r="C43" s="201">
        <v>-1766.53</v>
      </c>
      <c r="D43" s="201">
        <v>-1000</v>
      </c>
      <c r="E43" s="201">
        <v>0</v>
      </c>
    </row>
    <row r="44" spans="1:5" x14ac:dyDescent="0.25">
      <c r="A44" s="200" t="s">
        <v>139</v>
      </c>
      <c r="B44" s="200" t="s">
        <v>45</v>
      </c>
      <c r="C44" s="201">
        <v>-271.83999999999997</v>
      </c>
      <c r="D44" s="201">
        <v>-150</v>
      </c>
      <c r="E44" s="201">
        <v>-55.26</v>
      </c>
    </row>
    <row r="45" spans="1:5" x14ac:dyDescent="0.25">
      <c r="A45" s="200" t="s">
        <v>140</v>
      </c>
      <c r="B45" s="200" t="s">
        <v>46</v>
      </c>
      <c r="C45" s="201">
        <v>-1173.6400000000001</v>
      </c>
      <c r="D45" s="201">
        <v>-100</v>
      </c>
      <c r="E45" s="201">
        <v>-57.2</v>
      </c>
    </row>
    <row r="46" spans="1:5" x14ac:dyDescent="0.25">
      <c r="A46" s="200" t="s">
        <v>141</v>
      </c>
      <c r="B46" s="200" t="s">
        <v>47</v>
      </c>
      <c r="C46" s="201">
        <v>-10.24</v>
      </c>
      <c r="D46" s="201">
        <v>-250</v>
      </c>
      <c r="E46" s="201">
        <v>-174.78</v>
      </c>
    </row>
    <row r="47" spans="1:5" x14ac:dyDescent="0.25">
      <c r="A47" s="200" t="s">
        <v>142</v>
      </c>
      <c r="B47" s="200" t="s">
        <v>48</v>
      </c>
      <c r="C47" s="201">
        <v>-438.69</v>
      </c>
      <c r="D47" s="201">
        <v>-650</v>
      </c>
      <c r="E47" s="201">
        <v>-698.26</v>
      </c>
    </row>
    <row r="48" spans="1:5" x14ac:dyDescent="0.25">
      <c r="A48" s="200" t="s">
        <v>143</v>
      </c>
      <c r="B48" s="200" t="s">
        <v>49</v>
      </c>
      <c r="C48" s="201">
        <v>-1447.55</v>
      </c>
      <c r="D48" s="201">
        <v>-900</v>
      </c>
      <c r="E48" s="201">
        <v>-1056.3900000000001</v>
      </c>
    </row>
    <row r="49" spans="1:5" x14ac:dyDescent="0.25">
      <c r="A49" s="200" t="s">
        <v>144</v>
      </c>
      <c r="B49" s="200" t="s">
        <v>50</v>
      </c>
      <c r="C49" s="201">
        <v>-2156.11</v>
      </c>
      <c r="D49" s="201">
        <v>-2500</v>
      </c>
      <c r="E49" s="201">
        <v>-3134.59</v>
      </c>
    </row>
    <row r="50" spans="1:5" x14ac:dyDescent="0.25">
      <c r="A50" s="200" t="s">
        <v>145</v>
      </c>
      <c r="B50" s="200" t="s">
        <v>51</v>
      </c>
      <c r="C50" s="201">
        <v>-7926.89</v>
      </c>
      <c r="D50" s="201">
        <v>-4500</v>
      </c>
      <c r="E50" s="201">
        <v>-5629.3</v>
      </c>
    </row>
    <row r="51" spans="1:5" x14ac:dyDescent="0.25">
      <c r="A51" s="200" t="s">
        <v>146</v>
      </c>
      <c r="B51" s="200" t="s">
        <v>52</v>
      </c>
      <c r="C51" s="201">
        <v>-2488.1999999999998</v>
      </c>
      <c r="D51" s="201">
        <v>-3900</v>
      </c>
      <c r="E51" s="201">
        <v>-2576.84</v>
      </c>
    </row>
    <row r="52" spans="1:5" x14ac:dyDescent="0.25">
      <c r="A52" s="200" t="s">
        <v>147</v>
      </c>
      <c r="B52" s="200" t="s">
        <v>53</v>
      </c>
      <c r="C52" s="201">
        <v>0</v>
      </c>
      <c r="D52" s="201">
        <v>-1000</v>
      </c>
      <c r="E52" s="201">
        <v>-1793.76</v>
      </c>
    </row>
    <row r="53" spans="1:5" x14ac:dyDescent="0.25">
      <c r="A53" s="200" t="s">
        <v>148</v>
      </c>
      <c r="B53" s="200" t="s">
        <v>54</v>
      </c>
      <c r="C53" s="201">
        <v>0</v>
      </c>
      <c r="D53" s="201">
        <v>-2500</v>
      </c>
      <c r="E53" s="201">
        <v>-2804</v>
      </c>
    </row>
    <row r="54" spans="1:5" x14ac:dyDescent="0.25">
      <c r="A54" s="200" t="s">
        <v>149</v>
      </c>
      <c r="B54" s="200" t="s">
        <v>55</v>
      </c>
      <c r="C54" s="201">
        <v>-473.4</v>
      </c>
      <c r="D54" s="201">
        <v>-460</v>
      </c>
      <c r="E54" s="201">
        <v>-443.4</v>
      </c>
    </row>
    <row r="55" spans="1:5" x14ac:dyDescent="0.25">
      <c r="A55" s="200" t="s">
        <v>150</v>
      </c>
      <c r="B55" s="200" t="s">
        <v>56</v>
      </c>
      <c r="C55" s="201">
        <v>-1711</v>
      </c>
      <c r="D55" s="201">
        <v>-1150</v>
      </c>
      <c r="E55" s="201">
        <v>-1373.7</v>
      </c>
    </row>
    <row r="56" spans="1:5" x14ac:dyDescent="0.25">
      <c r="A56" s="200" t="s">
        <v>151</v>
      </c>
      <c r="B56" s="200" t="s">
        <v>57</v>
      </c>
      <c r="C56" s="201">
        <v>-2520</v>
      </c>
      <c r="D56" s="201">
        <v>-1700</v>
      </c>
      <c r="E56" s="201">
        <v>-1609.59</v>
      </c>
    </row>
    <row r="57" spans="1:5" x14ac:dyDescent="0.25">
      <c r="A57" s="200" t="s">
        <v>152</v>
      </c>
      <c r="B57" s="200" t="s">
        <v>59</v>
      </c>
      <c r="C57" s="201">
        <v>-15644</v>
      </c>
      <c r="D57" s="201">
        <v>-17000</v>
      </c>
      <c r="E57" s="201">
        <v>-15135.5</v>
      </c>
    </row>
    <row r="58" spans="1:5" x14ac:dyDescent="0.25">
      <c r="A58" s="200" t="s">
        <v>153</v>
      </c>
      <c r="B58" s="200" t="s">
        <v>58</v>
      </c>
      <c r="C58" s="201">
        <v>0</v>
      </c>
      <c r="D58" s="201">
        <v>-250</v>
      </c>
      <c r="E58" s="201">
        <v>-100</v>
      </c>
    </row>
    <row r="59" spans="1:5" x14ac:dyDescent="0.25">
      <c r="A59" s="200" t="s">
        <v>154</v>
      </c>
      <c r="B59" s="200" t="s">
        <v>60</v>
      </c>
      <c r="C59" s="201">
        <v>-10331.18</v>
      </c>
      <c r="D59" s="201">
        <v>-10500</v>
      </c>
      <c r="E59" s="201">
        <v>-10104.39</v>
      </c>
    </row>
    <row r="60" spans="1:5" x14ac:dyDescent="0.25">
      <c r="A60" s="200" t="s">
        <v>155</v>
      </c>
      <c r="B60" s="200" t="s">
        <v>61</v>
      </c>
      <c r="C60" s="201">
        <v>-3032.06</v>
      </c>
      <c r="D60" s="201">
        <v>-3000</v>
      </c>
      <c r="E60" s="201">
        <v>-2894.92</v>
      </c>
    </row>
    <row r="61" spans="1:5" x14ac:dyDescent="0.25">
      <c r="A61" s="200" t="s">
        <v>156</v>
      </c>
      <c r="B61" s="200" t="s">
        <v>62</v>
      </c>
      <c r="C61" s="201">
        <v>150</v>
      </c>
      <c r="D61" s="201">
        <v>-1000</v>
      </c>
      <c r="E61" s="201">
        <v>-900</v>
      </c>
    </row>
    <row r="62" spans="1:5" x14ac:dyDescent="0.25">
      <c r="A62" s="200" t="s">
        <v>157</v>
      </c>
      <c r="B62" s="200" t="s">
        <v>63</v>
      </c>
      <c r="C62" s="201">
        <v>-1928.97</v>
      </c>
      <c r="D62" s="201">
        <v>-2000</v>
      </c>
      <c r="E62" s="201">
        <v>-1871.16</v>
      </c>
    </row>
    <row r="63" spans="1:5" x14ac:dyDescent="0.25">
      <c r="A63" s="200" t="s">
        <v>158</v>
      </c>
      <c r="B63" s="200" t="s">
        <v>64</v>
      </c>
      <c r="C63" s="201">
        <v>-6336.52</v>
      </c>
      <c r="D63" s="201">
        <v>-6850</v>
      </c>
      <c r="E63" s="201">
        <v>-4687.75</v>
      </c>
    </row>
    <row r="64" spans="1:5" x14ac:dyDescent="0.25">
      <c r="A64" s="200" t="s">
        <v>159</v>
      </c>
      <c r="B64" s="200" t="s">
        <v>65</v>
      </c>
      <c r="C64" s="201">
        <v>-1047.04</v>
      </c>
      <c r="D64" s="201">
        <v>-1000</v>
      </c>
      <c r="E64" s="201">
        <v>-954.26</v>
      </c>
    </row>
    <row r="65" spans="1:5" x14ac:dyDescent="0.25">
      <c r="A65" s="200" t="s">
        <v>160</v>
      </c>
      <c r="B65" s="200" t="s">
        <v>66</v>
      </c>
      <c r="C65" s="201">
        <v>-23571</v>
      </c>
      <c r="D65" s="201">
        <v>-24700</v>
      </c>
      <c r="E65" s="201">
        <v>-24969</v>
      </c>
    </row>
    <row r="66" spans="1:5" x14ac:dyDescent="0.25">
      <c r="A66" s="200" t="s">
        <v>161</v>
      </c>
      <c r="B66" s="200" t="s">
        <v>67</v>
      </c>
      <c r="C66" s="201">
        <v>-810</v>
      </c>
      <c r="D66" s="201">
        <v>-800</v>
      </c>
      <c r="E66" s="201">
        <v>-750</v>
      </c>
    </row>
    <row r="67" spans="1:5" x14ac:dyDescent="0.25">
      <c r="A67" s="200" t="s">
        <v>162</v>
      </c>
      <c r="B67" s="200" t="s">
        <v>68</v>
      </c>
      <c r="C67" s="201">
        <v>-793.5</v>
      </c>
      <c r="D67" s="201">
        <v>-2100</v>
      </c>
      <c r="E67" s="201">
        <v>-2540.5</v>
      </c>
    </row>
    <row r="68" spans="1:5" x14ac:dyDescent="0.25">
      <c r="A68" s="200" t="s">
        <v>163</v>
      </c>
      <c r="B68" s="200" t="s">
        <v>69</v>
      </c>
      <c r="C68" s="201">
        <v>-1010.9</v>
      </c>
      <c r="D68" s="201">
        <v>-800</v>
      </c>
      <c r="E68" s="201">
        <v>-829.24</v>
      </c>
    </row>
    <row r="69" spans="1:5" x14ac:dyDescent="0.25">
      <c r="A69" s="200" t="s">
        <v>164</v>
      </c>
      <c r="B69" s="200" t="s">
        <v>70</v>
      </c>
      <c r="C69" s="201">
        <v>-2398.06</v>
      </c>
      <c r="D69" s="201">
        <v>-2200</v>
      </c>
      <c r="E69" s="201">
        <v>-2420.4</v>
      </c>
    </row>
    <row r="70" spans="1:5" x14ac:dyDescent="0.25">
      <c r="A70" s="200" t="s">
        <v>165</v>
      </c>
      <c r="B70" s="200" t="s">
        <v>71</v>
      </c>
      <c r="C70" s="201">
        <v>-4421.47</v>
      </c>
      <c r="D70" s="201">
        <v>-5000</v>
      </c>
      <c r="E70" s="201">
        <v>-4325.97</v>
      </c>
    </row>
    <row r="71" spans="1:5" x14ac:dyDescent="0.25">
      <c r="A71" s="200" t="s">
        <v>166</v>
      </c>
      <c r="B71" s="200" t="s">
        <v>72</v>
      </c>
      <c r="C71" s="201">
        <v>-150</v>
      </c>
      <c r="D71" s="201">
        <v>-350</v>
      </c>
      <c r="E71" s="201">
        <v>-608.99</v>
      </c>
    </row>
    <row r="72" spans="1:5" x14ac:dyDescent="0.25">
      <c r="A72" s="200" t="s">
        <v>167</v>
      </c>
      <c r="B72" s="200" t="s">
        <v>73</v>
      </c>
      <c r="C72" s="201">
        <v>-1744.65</v>
      </c>
      <c r="D72" s="201">
        <v>-1500</v>
      </c>
      <c r="E72" s="201">
        <v>-1490.66</v>
      </c>
    </row>
    <row r="73" spans="1:5" x14ac:dyDescent="0.25">
      <c r="A73" s="200" t="s">
        <v>168</v>
      </c>
      <c r="B73" s="200" t="s">
        <v>74</v>
      </c>
      <c r="C73" s="201">
        <v>0</v>
      </c>
      <c r="D73" s="201">
        <v>-500</v>
      </c>
      <c r="E73" s="201">
        <v>-97.6</v>
      </c>
    </row>
    <row r="74" spans="1:5" x14ac:dyDescent="0.25">
      <c r="A74" s="200" t="s">
        <v>169</v>
      </c>
      <c r="B74" s="200" t="s">
        <v>75</v>
      </c>
      <c r="C74" s="201">
        <v>-1230</v>
      </c>
      <c r="D74" s="201">
        <v>-2000</v>
      </c>
      <c r="E74" s="201">
        <v>-2040</v>
      </c>
    </row>
    <row r="75" spans="1:5" x14ac:dyDescent="0.25">
      <c r="A75" s="200" t="s">
        <v>170</v>
      </c>
      <c r="B75" s="200" t="s">
        <v>76</v>
      </c>
      <c r="C75" s="201">
        <v>0</v>
      </c>
      <c r="D75" s="201">
        <v>-150</v>
      </c>
      <c r="E75" s="201">
        <v>-123</v>
      </c>
    </row>
    <row r="76" spans="1:5" x14ac:dyDescent="0.25">
      <c r="A76" s="200" t="s">
        <v>171</v>
      </c>
      <c r="B76" s="200" t="s">
        <v>77</v>
      </c>
      <c r="C76" s="201">
        <v>-466.6</v>
      </c>
      <c r="D76" s="201">
        <v>-500</v>
      </c>
      <c r="E76" s="201">
        <v>-476.04</v>
      </c>
    </row>
    <row r="77" spans="1:5" x14ac:dyDescent="0.25">
      <c r="A77" s="200" t="s">
        <v>172</v>
      </c>
      <c r="B77" s="200" t="s">
        <v>78</v>
      </c>
      <c r="C77" s="201">
        <v>-134.51</v>
      </c>
      <c r="D77" s="201">
        <v>-300</v>
      </c>
      <c r="E77" s="201">
        <v>-287.05</v>
      </c>
    </row>
    <row r="78" spans="1:5" x14ac:dyDescent="0.25">
      <c r="A78" s="200" t="s">
        <v>173</v>
      </c>
      <c r="B78" s="200" t="s">
        <v>79</v>
      </c>
      <c r="C78" s="201">
        <v>-1128.3800000000001</v>
      </c>
      <c r="D78" s="201">
        <v>-1500</v>
      </c>
      <c r="E78" s="201">
        <v>-1390.17</v>
      </c>
    </row>
    <row r="79" spans="1:5" x14ac:dyDescent="0.25">
      <c r="A79" s="200" t="s">
        <v>174</v>
      </c>
      <c r="B79" s="200" t="s">
        <v>80</v>
      </c>
      <c r="C79" s="201">
        <v>-502.07</v>
      </c>
      <c r="D79" s="201">
        <v>-550</v>
      </c>
      <c r="E79" s="201">
        <v>-580.52</v>
      </c>
    </row>
    <row r="80" spans="1:5" ht="30" x14ac:dyDescent="0.25">
      <c r="A80" s="200" t="s">
        <v>175</v>
      </c>
      <c r="B80" s="200" t="s">
        <v>81</v>
      </c>
      <c r="C80" s="201">
        <v>-417.33</v>
      </c>
      <c r="D80" s="201">
        <v>-600</v>
      </c>
      <c r="E80" s="201">
        <v>-600.75</v>
      </c>
    </row>
    <row r="81" spans="1:5" x14ac:dyDescent="0.25">
      <c r="A81" s="200" t="s">
        <v>176</v>
      </c>
      <c r="B81" s="200" t="s">
        <v>177</v>
      </c>
      <c r="C81" s="202"/>
      <c r="D81" s="201">
        <v>-40</v>
      </c>
      <c r="E81" s="201">
        <v>0</v>
      </c>
    </row>
    <row r="82" spans="1:5" x14ac:dyDescent="0.25">
      <c r="A82" s="200" t="s">
        <v>178</v>
      </c>
      <c r="B82" s="200" t="s">
        <v>82</v>
      </c>
      <c r="C82" s="202"/>
      <c r="D82" s="201">
        <v>0</v>
      </c>
      <c r="E82" s="201">
        <v>0</v>
      </c>
    </row>
    <row r="83" spans="1:5" x14ac:dyDescent="0.25">
      <c r="A83" s="200" t="s">
        <v>179</v>
      </c>
      <c r="B83" s="200" t="s">
        <v>83</v>
      </c>
      <c r="C83" s="201">
        <v>-21379.39</v>
      </c>
      <c r="D83" s="201">
        <v>-24700</v>
      </c>
      <c r="E83" s="201">
        <v>-22889.119999999999</v>
      </c>
    </row>
    <row r="84" spans="1:5" x14ac:dyDescent="0.25">
      <c r="A84" s="200" t="s">
        <v>180</v>
      </c>
      <c r="B84" s="200" t="s">
        <v>84</v>
      </c>
      <c r="C84" s="201">
        <v>-2400</v>
      </c>
      <c r="D84" s="201">
        <v>-2400</v>
      </c>
      <c r="E84" s="201">
        <v>-600</v>
      </c>
    </row>
    <row r="85" spans="1:5" x14ac:dyDescent="0.25">
      <c r="A85" s="200" t="s">
        <v>181</v>
      </c>
      <c r="B85" s="200" t="s">
        <v>85</v>
      </c>
      <c r="C85" s="201">
        <v>-2293.92</v>
      </c>
      <c r="D85" s="201">
        <v>-1350</v>
      </c>
      <c r="E85" s="201">
        <v>-1325.97</v>
      </c>
    </row>
    <row r="86" spans="1:5" x14ac:dyDescent="0.25">
      <c r="A86" s="200" t="s">
        <v>182</v>
      </c>
      <c r="B86" s="200" t="s">
        <v>86</v>
      </c>
      <c r="C86" s="201">
        <v>-300.29000000000002</v>
      </c>
      <c r="D86" s="201">
        <v>-325</v>
      </c>
      <c r="E86" s="201">
        <v>-228.01</v>
      </c>
    </row>
    <row r="87" spans="1:5" x14ac:dyDescent="0.25">
      <c r="A87" s="200" t="s">
        <v>183</v>
      </c>
      <c r="B87" s="200" t="s">
        <v>87</v>
      </c>
      <c r="C87" s="201">
        <v>-490.44</v>
      </c>
      <c r="D87" s="201">
        <v>-225</v>
      </c>
      <c r="E87" s="201">
        <v>-258.93</v>
      </c>
    </row>
    <row r="88" spans="1:5" x14ac:dyDescent="0.25">
      <c r="A88" s="200" t="s">
        <v>184</v>
      </c>
      <c r="B88" s="200" t="s">
        <v>88</v>
      </c>
      <c r="C88" s="201">
        <v>-0.06</v>
      </c>
      <c r="D88" s="201">
        <v>0</v>
      </c>
      <c r="E88" s="201">
        <v>-9.42</v>
      </c>
    </row>
    <row r="89" spans="1:5" s="149" customFormat="1" x14ac:dyDescent="0.25">
      <c r="A89" s="200" t="s">
        <v>185</v>
      </c>
      <c r="B89" s="200" t="s">
        <v>89</v>
      </c>
      <c r="C89" s="201">
        <v>-8064.41</v>
      </c>
      <c r="D89" s="201">
        <v>-7400</v>
      </c>
      <c r="E89" s="201">
        <v>-616.66999999999996</v>
      </c>
    </row>
    <row r="90" spans="1:5" s="149" customFormat="1" x14ac:dyDescent="0.25">
      <c r="A90" s="200" t="s">
        <v>222</v>
      </c>
      <c r="B90" s="200" t="s">
        <v>223</v>
      </c>
      <c r="C90" s="201">
        <v>-470.4</v>
      </c>
      <c r="D90" s="201">
        <v>0</v>
      </c>
      <c r="E90" s="201">
        <v>0</v>
      </c>
    </row>
    <row r="91" spans="1:5" s="149" customFormat="1" x14ac:dyDescent="0.25">
      <c r="A91" s="200" t="s">
        <v>227</v>
      </c>
      <c r="B91" s="200" t="s">
        <v>228</v>
      </c>
      <c r="C91" s="201">
        <v>-240</v>
      </c>
      <c r="D91" s="201">
        <v>0</v>
      </c>
      <c r="E91" s="201">
        <v>0</v>
      </c>
    </row>
    <row r="92" spans="1:5" x14ac:dyDescent="0.25">
      <c r="A92" s="200" t="s">
        <v>231</v>
      </c>
      <c r="B92" s="200" t="s">
        <v>232</v>
      </c>
      <c r="C92" s="201">
        <v>1000</v>
      </c>
      <c r="D92" s="201">
        <v>0</v>
      </c>
      <c r="E92" s="201">
        <v>0</v>
      </c>
    </row>
    <row r="93" spans="1:5" s="205" customFormat="1" x14ac:dyDescent="0.25">
      <c r="A93" s="200" t="s">
        <v>233</v>
      </c>
      <c r="B93" s="200" t="s">
        <v>234</v>
      </c>
      <c r="C93" s="201">
        <v>8.0299999999999994</v>
      </c>
      <c r="D93" s="201">
        <v>0</v>
      </c>
      <c r="E93" s="201">
        <v>0</v>
      </c>
    </row>
    <row r="94" spans="1:5" x14ac:dyDescent="0.25">
      <c r="A94" s="200" t="s">
        <v>235</v>
      </c>
      <c r="B94" s="200" t="s">
        <v>236</v>
      </c>
      <c r="C94" s="201">
        <v>7500</v>
      </c>
      <c r="D94" s="201">
        <v>0</v>
      </c>
      <c r="E94" s="201">
        <v>0</v>
      </c>
    </row>
    <row r="95" spans="1:5" s="149" customFormat="1" x14ac:dyDescent="0.25">
      <c r="A95" s="200" t="s">
        <v>238</v>
      </c>
      <c r="B95" s="200" t="s">
        <v>237</v>
      </c>
      <c r="C95" s="201">
        <v>-500</v>
      </c>
      <c r="D95" s="201">
        <v>0</v>
      </c>
      <c r="E95" s="201">
        <v>0</v>
      </c>
    </row>
    <row r="96" spans="1:5" x14ac:dyDescent="0.25">
      <c r="A96" s="200" t="s">
        <v>239</v>
      </c>
      <c r="B96" s="200" t="s">
        <v>240</v>
      </c>
      <c r="C96" s="201">
        <v>-983.16</v>
      </c>
      <c r="D96" s="201">
        <v>-450</v>
      </c>
      <c r="E96" s="201">
        <v>0</v>
      </c>
    </row>
    <row r="97" spans="1:5" x14ac:dyDescent="0.25">
      <c r="A97" s="200" t="s">
        <v>241</v>
      </c>
      <c r="B97" s="200" t="s">
        <v>242</v>
      </c>
      <c r="C97" s="201">
        <v>-198.46</v>
      </c>
      <c r="D97" s="201">
        <v>0</v>
      </c>
      <c r="E97" s="201">
        <v>0</v>
      </c>
    </row>
    <row r="98" spans="1:5" s="149" customFormat="1" x14ac:dyDescent="0.25">
      <c r="A98" s="200" t="s">
        <v>243</v>
      </c>
      <c r="B98" s="200" t="s">
        <v>244</v>
      </c>
      <c r="C98" s="201">
        <v>-15</v>
      </c>
      <c r="D98" s="201">
        <v>0</v>
      </c>
      <c r="E98" s="201">
        <v>0</v>
      </c>
    </row>
    <row r="99" spans="1:5" s="149" customFormat="1" x14ac:dyDescent="0.25">
      <c r="A99" s="200" t="s">
        <v>247</v>
      </c>
      <c r="B99" s="200" t="s">
        <v>248</v>
      </c>
      <c r="C99" s="201">
        <v>-250</v>
      </c>
      <c r="D99" s="201">
        <v>0</v>
      </c>
      <c r="E99" s="201">
        <v>0</v>
      </c>
    </row>
    <row r="100" spans="1:5" s="223" customFormat="1" x14ac:dyDescent="0.25">
      <c r="A100" s="221" t="s">
        <v>250</v>
      </c>
      <c r="B100" s="221" t="s">
        <v>249</v>
      </c>
      <c r="C100" s="222">
        <v>-2000</v>
      </c>
      <c r="D100" s="222">
        <v>0</v>
      </c>
      <c r="E100" s="222">
        <v>0</v>
      </c>
    </row>
  </sheetData>
  <pageMargins left="0.7" right="0.7" top="0.75" bottom="0.75" header="0.3" footer="0.3"/>
  <pageSetup paperSize="9" orientation="portrait" verticalDpi="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5</vt:i4>
      </vt:variant>
      <vt:variant>
        <vt:lpstr>Plages nommées</vt:lpstr>
      </vt:variant>
      <vt:variant>
        <vt:i4>1</vt:i4>
      </vt:variant>
    </vt:vector>
  </HeadingPairs>
  <TitlesOfParts>
    <vt:vector size="6" baseType="lpstr">
      <vt:lpstr>Presentation budget</vt:lpstr>
      <vt:lpstr>Remarques du trésorier</vt:lpstr>
      <vt:lpstr>Atterrissage</vt:lpstr>
      <vt:lpstr>Analytique budget</vt:lpstr>
      <vt:lpstr>Import budget N N-1</vt:lpstr>
      <vt:lpstr>'Presentation budget'!Zone_d_impression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2025-12-10T17:35:39Z</dcterms:modified>
</cp:coreProperties>
</file>